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xml" ContentType="application/xml"/>
  <Override PartName="/xl/workbook.xml" ContentType="application/vnd.openxmlformats-officedocument.spreadsheetml.sheet.main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4000" windowHeight="14000" firstSheet="0" activeTab="0"/>
  </bookViews>
  <sheets>
    <sheet sheetId="5" name="Dashboard" state="visible" r:id="rId4"/>
    <sheet sheetId="1" name="Setup" state="visible" r:id="rId5"/>
    <sheet sheetId="2" name="Debts" state="visible" r:id="rId6"/>
    <sheet sheetId="3" name="Payoff Schedule" state="visible" r:id="rId7"/>
    <sheet sheetId="6" name="Instructions" state="visible" r:id="rId8"/>
    <sheet sheetId="4" name="Data" state="hidden" r:id="rId9"/>
  </sheets>
  <calcPr calcId="171027"/>
</workbook>
</file>

<file path=xl/sharedStrings.xml><?xml version="1.0" encoding="utf-8"?>
<sst xmlns="http://schemas.openxmlformats.org/spreadsheetml/2006/main" count="114" uniqueCount="101">
  <si>
    <t>TOTAL DEBT TODAY</t>
  </si>
  <si>
    <t>DEBT-FREE DATE</t>
  </si>
  <si>
    <t>MONTHS TO FREEDOM</t>
  </si>
  <si>
    <t>INTEREST YOU WILL PAY</t>
  </si>
  <si>
    <t>TOTAL DEBT REMAINING · NEXT 3 YEARS</t>
  </si>
  <si>
    <t>DEBT BREAKDOWN · SHARE OF WHAT YOU OWE</t>
  </si>
  <si>
    <t>INTEREST YOU WILL PAY · BY DEBT</t>
  </si>
  <si>
    <t>PAYOFF ORDER · ATTACK THESE FIRST</t>
  </si>
  <si>
    <t>APR BY DEBT · WHAT IS COSTING YOU MOST</t>
  </si>
  <si>
    <t>Debt Payoff Tracker · Anchit Labs · formulas only, no scripts — works in Google Sheets and Excel</t>
  </si>
  <si>
    <t>Setup</t>
  </si>
  <si>
    <t>Fill in these details once — every tab and the dashboard use them.</t>
  </si>
  <si>
    <t>Your name</t>
  </si>
  <si>
    <t>Alex</t>
  </si>
  <si>
    <t>Shown on the dashboard.</t>
  </si>
  <si>
    <t>Currency symbol</t>
  </si>
  <si>
    <t>$</t>
  </si>
  <si>
    <t>Type any symbol — €, £, ₹, ¥. Number formats on every tab follow it.</t>
  </si>
  <si>
    <t>Payoff strategy</t>
  </si>
  <si>
    <t>Snowball</t>
  </si>
  <si>
    <t>Snowball = smallest balance first (fastest wins). Avalanche = highest interest rate first (saves the most money).</t>
  </si>
  <si>
    <t>Extra monthly payment</t>
  </si>
  <si>
    <t>Anything extra you can put toward debt each month, on top of the minimum payments. This is what gets snowballed.</t>
  </si>
  <si>
    <t>Start month</t>
  </si>
  <si>
    <t>The first month of the payoff schedule and dashboard.</t>
  </si>
  <si>
    <t>Switch strategies any time — Priority on the Debts tab and the whole payoff schedule recalculate instantly.</t>
  </si>
  <si>
    <t>Your Debts</t>
  </si>
  <si>
    <t>List every debt you owe. Priority ranks automatically from your strategy on the Setup tab — 1 means attack it first.</t>
  </si>
  <si>
    <t>Debt</t>
  </si>
  <si>
    <t>Type</t>
  </si>
  <si>
    <t>Balance</t>
  </si>
  <si>
    <t>APR</t>
  </si>
  <si>
    <t>Min payment</t>
  </si>
  <si>
    <t>Priority</t>
  </si>
  <si>
    <t>Notes</t>
  </si>
  <si>
    <t>Visa credit card</t>
  </si>
  <si>
    <t>Credit Card</t>
  </si>
  <si>
    <t/>
  </si>
  <si>
    <t>Store card</t>
  </si>
  <si>
    <t>Store Card</t>
  </si>
  <si>
    <t>Car loan</t>
  </si>
  <si>
    <t>Car Loan</t>
  </si>
  <si>
    <t>Student loan</t>
  </si>
  <si>
    <t>Student Loan</t>
  </si>
  <si>
    <t>Personal loan</t>
  </si>
  <si>
    <t>Personal Loan</t>
  </si>
  <si>
    <t>Total</t>
  </si>
  <si>
    <t>Gold cells are yours. Up to 6 debts — leave a row blank if you have fewer. Priority recalculates the moment you change a balance, rate or strategy.</t>
  </si>
  <si>
    <t>Payoff Schedule</t>
  </si>
  <si>
    <t>Month by month for the next 3 years, generated from your Debts tab.</t>
  </si>
  <si>
    <t>Month</t>
  </si>
  <si>
    <t>Date</t>
  </si>
  <si>
    <t>Total balance</t>
  </si>
  <si>
    <t>Interest paid that month</t>
  </si>
  <si>
    <t>Interest paid to date</t>
  </si>
  <si>
    <t>Total balance hits 0 the month you are debt-free (highlighted). This whole tab recalculates automatically from your Debts and Setup tabs.</t>
  </si>
  <si>
    <t>How to use your Debt Payoff Tracker</t>
  </si>
  <si>
    <t>Ten minutes to set up, then it plans the whole payoff for you.</t>
  </si>
  <si>
    <t>Step 1 — Make your own copy</t>
  </si>
  <si>
    <t>Google Sheets: File → Make a copy. Excel: just open the file. Everything is formulas — no scripts, nothing to enable.</t>
  </si>
  <si>
    <t>Step 2 — Setup tab</t>
  </si>
  <si>
    <t>Type your name and currency symbol. Choose Snowball (pay off the smallest balance first — quick wins keep you motivated) or Avalanche (pay off the highest interest rate first — saves the most money). Enter how much extra you can put toward debt each month beyond the minimums.</t>
  </si>
  <si>
    <t>Step 3 — Debts tab</t>
  </si>
  <si>
    <t>List every debt: name, type, balance, APR and minimum payment. Priority ranks automatically from the strategy you chose — 1 means pay this one first. Up to 6 debts; leave a row blank if you have fewer.</t>
  </si>
  <si>
    <t>Step 4 — Payoff Schedule</t>
  </si>
  <si>
    <t>A full month-by-month table showing your total balance and interest paid, generated automatically from your Debts. The row where the balance hits 0 is highlighted — that is your debt-free month.</t>
  </si>
  <si>
    <t>Step 5 — Read the dashboard</t>
  </si>
  <si>
    <t>Total debt today, your debt-free date, months to freedom, total interest you will pay, a 3-year balance chart, your payoff order, a breakdown of what you owe, and interest by debt.</t>
  </si>
  <si>
    <t>How the snowball actually works</t>
  </si>
  <si>
    <t>Every month, minimum payments go to every debt. Your extra payment goes entirely to whichever debt has Priority 1. The moment a debt hits 0, its old minimum payment joins the extra pool the next month, so the payoff speeds up over time.</t>
  </si>
  <si>
    <t>FAQ</t>
  </si>
  <si>
    <t>•  Switching strategy: change it on Setup any time — Priority and the whole schedule recalculate instantly.</t>
  </si>
  <si>
    <t>•  Currency: change the symbol on Setup — every money format updates.</t>
  </si>
  <si>
    <t>•  More than 6 debts: consolidate small ones onto one row, or duplicate a row and adjust formulas.</t>
  </si>
  <si>
    <t>•  Do not delete the hidden Data tab or the header rows — the dashboard and schedule read from them.</t>
  </si>
  <si>
    <t>KPIs</t>
  </si>
  <si>
    <t>Total original debt</t>
  </si>
  <si>
    <t>Total minimum payments</t>
  </si>
  <si>
    <t>Total monthly payment</t>
  </si>
  <si>
    <t>Debt-free month #</t>
  </si>
  <si>
    <t>Debt-free date</t>
  </si>
  <si>
    <t>Months to freedom (display)</t>
  </si>
  <si>
    <t>Total interest paid</t>
  </si>
  <si>
    <t>Debt-free? (for dashboard subtitle)</t>
  </si>
  <si>
    <t>Total interest</t>
  </si>
  <si>
    <t>Bal 1</t>
  </si>
  <si>
    <t>Int 1</t>
  </si>
  <si>
    <t>Bal 2</t>
  </si>
  <si>
    <t>Int 2</t>
  </si>
  <si>
    <t>Bal 3</t>
  </si>
  <si>
    <t>Int 3</t>
  </si>
  <si>
    <t>Bal 4</t>
  </si>
  <si>
    <t>Int 4</t>
  </si>
  <si>
    <t>Bal 5</t>
  </si>
  <si>
    <t>Int 5</t>
  </si>
  <si>
    <t>Bal 6</t>
  </si>
  <si>
    <t>Int 6</t>
  </si>
  <si>
    <t>Cum interest</t>
  </si>
  <si>
    <t>Target rank</t>
  </si>
  <si>
    <t>Extra pool</t>
  </si>
  <si>
    <t>Chart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</si>
</sst>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#,##0;[Red]-&quot;$&quot;#,##0;&quot;-&quot;"/>
    <numFmt numFmtId="165" formatCode="mmm yyyy"/>
    <numFmt numFmtId="166" formatCode="#,##0;[Red]-#,##0;&quot;-&quot;"/>
    <numFmt numFmtId="167" formatCode="d mmm yyyy"/>
    <numFmt numFmtId="168" formatCode="0.0%"/>
    <numFmt numFmtId="169" formatCode="&quot;$&quot;#,##0.00;[Red]-&quot;$&quot;#,##0.00;&quot;-&quot;"/>
  </numFmts>
  <fonts count="21" x14ac:knownFonts="1">
    <font>
      <color theme="1"/>
      <family val="2"/>
      <scheme val="minor"/>
      <sz val="11"/>
      <name val="Calibri"/>
    </font>
    <font>
      <i/>
      <color rgb="FF8E4A34"/>
      <sz val="24"/>
      <name val="Georgia"/>
    </font>
    <font>
      <b/>
      <color rgb="FF8A847C"/>
      <sz val="8"/>
      <name val="Arial"/>
    </font>
    <font>
      <b/>
      <color rgb="FFFFFFFF"/>
      <sz val="7"/>
      <name val="Arial"/>
    </font>
    <font>
      <b/>
      <color rgb="FF8E4A34"/>
      <sz val="18"/>
      <name val="Georgia"/>
    </font>
    <font>
      <b/>
      <color rgb="FF9B3B35"/>
      <sz val="18"/>
      <name val="Georgia"/>
    </font>
    <font>
      <b/>
      <color rgb="FF2F6B3A"/>
      <sz val="16"/>
      <name val="Georgia"/>
    </font>
    <font>
      <b/>
      <color rgb="FF3D3A37"/>
      <sz val="18"/>
      <name val="Georgia"/>
    </font>
    <font>
      <b/>
      <color rgb="FF8E4A34"/>
      <sz val="8"/>
      <name val="Arial"/>
    </font>
    <font>
      <color rgb="FF3D3A37"/>
      <sz val="8"/>
      <name val="Arial"/>
    </font>
    <font>
      <b/>
      <color rgb="FF9B3B35"/>
      <sz val="8"/>
      <name val="Arial"/>
    </font>
    <font>
      <color rgb="FF8A847C"/>
      <sz val="7"/>
      <name val="Arial"/>
    </font>
    <font>
      <i/>
      <color rgb="FF8E4A34"/>
      <sz val="20"/>
      <name val="Georgia"/>
    </font>
    <font>
      <color rgb="FF8A847C"/>
      <sz val="9"/>
      <name val="Arial"/>
    </font>
    <font>
      <b/>
      <color rgb="FF3D3A37"/>
      <sz val="9"/>
      <name val="Arial"/>
    </font>
    <font>
      <i/>
      <color rgb="FF8A847C"/>
      <sz val="8"/>
      <name val="Arial"/>
    </font>
    <font>
      <b/>
      <color rgb="FFFFFFFF"/>
      <sz val="8"/>
      <name val="Arial"/>
    </font>
    <font>
      <color rgb="FF3D3A37"/>
      <sz val="9"/>
      <name val="Arial"/>
    </font>
    <font>
      <b/>
      <color rgb="FF8E4A34"/>
      <sz val="9"/>
      <name val="Arial"/>
    </font>
    <font>
      <b/>
      <color rgb="FF8E4A34"/>
      <sz val="12"/>
      <name val="Georgia"/>
    </font>
    <font>
      <color rgb="FF3D3A37"/>
      <sz val="9.5"/>
      <name val="Arial"/>
    </font>
  </fonts>
  <fills count="11">
    <fill>
      <patternFill patternType="none"/>
    </fill>
    <fill>
      <patternFill patternType="gray125"/>
    </fill>
    <fill>
      <patternFill patternType="solid">
        <fgColor rgb="FFFAF5F0"/>
      </patternFill>
    </fill>
    <fill>
      <patternFill patternType="solid">
        <fgColor rgb="FFB5654A"/>
      </patternFill>
    </fill>
    <fill>
      <patternFill patternType="solid">
        <fgColor rgb="FFF0D9CF"/>
      </patternFill>
    </fill>
    <fill>
      <patternFill patternType="solid">
        <fgColor rgb="FFDDE7DF"/>
      </patternFill>
    </fill>
    <fill>
      <patternFill patternType="solid">
        <fgColor rgb="FFDCEBD8"/>
      </patternFill>
    </fill>
    <fill>
      <patternFill patternType="solid">
        <fgColor rgb="FFF0E6DC"/>
      </patternFill>
    </fill>
    <fill>
      <patternFill patternType="solid">
        <fgColor rgb="FFFFFFFF"/>
      </patternFill>
    </fill>
    <fill>
      <patternFill patternType="solid">
        <fgColor rgb="FFF5EBD9"/>
      </patternFill>
    </fill>
    <fill>
      <patternFill patternType="solid">
        <fgColor rgb="FFFDFBF8"/>
      </patternFill>
    </fill>
  </fills>
  <borders count="11">
    <border>
      <left/>
      <right/>
      <top/>
      <bottom/>
      <diagonal/>
    </border>
    <border>
      <left style="thin">
        <color rgb="FFE8DCD2"/>
      </left>
      <right/>
      <top/>
      <bottom/>
      <diagonal/>
    </border>
    <border>
      <left/>
      <right style="thin">
        <color rgb="FFE8DCD2"/>
      </right>
      <top/>
      <bottom/>
      <diagonal/>
    </border>
    <border>
      <left style="thin">
        <color rgb="FFE8DCD2"/>
      </left>
      <right/>
      <top/>
      <bottom style="thin">
        <color rgb="FFE8DCD2"/>
      </bottom>
      <diagonal/>
    </border>
    <border>
      <left/>
      <right/>
      <top/>
      <bottom style="thin">
        <color rgb="FFE8DCD2"/>
      </bottom>
      <diagonal/>
    </border>
    <border>
      <left/>
      <right style="thin">
        <color rgb="FFE8DCD2"/>
      </right>
      <top/>
      <bottom style="thin">
        <color rgb="FFE8DCD2"/>
      </bottom>
      <diagonal/>
    </border>
    <border>
      <left style="thin">
        <color rgb="FFE8DCD2"/>
      </left>
      <right style="thin">
        <color rgb="FFE8DCD2"/>
      </right>
      <top style="thin">
        <color rgb="FFE8DCD2"/>
      </top>
      <bottom style="thin">
        <color rgb="FFE8DCD2"/>
      </bottom>
      <diagonal/>
    </border>
    <border>
      <left style="thin">
        <color rgb="FFC9A96E"/>
      </left>
      <right style="thin">
        <color rgb="FFC9A96E"/>
      </right>
      <top style="thin">
        <color rgb="FFC9A96E"/>
      </top>
      <bottom style="thin">
        <color rgb="FFC9A96E"/>
      </bottom>
      <diagonal/>
    </border>
    <border>
      <left style="thin">
        <color rgb="FFB5654A"/>
      </left>
      <right style="thin">
        <color rgb="FFB5654A"/>
      </right>
      <top style="thin">
        <color rgb="FFB5654A"/>
      </top>
      <bottom style="thin">
        <color rgb="FFB5654A"/>
      </bottom>
      <diagonal/>
    </border>
    <border>
      <left style="thin">
        <color rgb="FFF0D9CF"/>
      </left>
      <right style="thin">
        <color rgb="FFF0D9CF"/>
      </right>
      <top style="medium">
        <color rgb="FFB5654A"/>
      </top>
      <bottom style="thin">
        <color rgb="FFF0D9CF"/>
      </bottom>
      <diagonal/>
    </border>
    <border>
      <left/>
      <right/>
      <top/>
      <bottom style="thin">
        <color rgb="FFB5654A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166" fontId="6" fillId="6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/>
    </xf>
    <xf numFmtId="0" fontId="0" fillId="8" borderId="1" xfId="0" applyFill="1" applyBorder="1"/>
    <xf numFmtId="0" fontId="0" fillId="8" borderId="0" xfId="0" applyFill="1"/>
    <xf numFmtId="0" fontId="0" fillId="8" borderId="2" xfId="0" applyFill="1" applyBorder="1"/>
    <xf numFmtId="0" fontId="0" fillId="8" borderId="3" xfId="0" applyFill="1" applyBorder="1"/>
    <xf numFmtId="0" fontId="0" fillId="8" borderId="4" xfId="0" applyFill="1" applyBorder="1"/>
    <xf numFmtId="0" fontId="0" fillId="8" borderId="5" xfId="0" applyFill="1" applyBorder="1"/>
    <xf numFmtId="1" fontId="8" fillId="8" borderId="1" xfId="0" applyNumberFormat="1" applyFont="1" applyFill="1" applyBorder="1" applyAlignment="1">
      <alignment horizontal="center" vertical="center"/>
    </xf>
    <xf numFmtId="0" fontId="9" fillId="8" borderId="0" xfId="0" applyFont="1" applyFill="1" applyAlignment="1">
      <alignment vertical="center" indent="1"/>
    </xf>
    <xf numFmtId="164" fontId="10" fillId="8" borderId="0" xfId="0" applyNumberFormat="1" applyFont="1" applyFill="1" applyAlignment="1">
      <alignment horizontal="right" vertical="center" indent="1"/>
    </xf>
    <xf numFmtId="0" fontId="11" fillId="2" borderId="0" xfId="0" applyFont="1" applyFill="1"/>
    <xf numFmtId="0" fontId="12" fillId="2" borderId="0" xfId="0" applyFont="1" applyFill="1" applyAlignment="1">
      <alignment vertical="center"/>
    </xf>
    <xf numFmtId="0" fontId="13" fillId="2" borderId="0" xfId="0" applyFont="1" applyFill="1"/>
    <xf numFmtId="0" fontId="14" fillId="8" borderId="6" xfId="0" applyFont="1" applyFill="1" applyBorder="1" applyAlignment="1">
      <alignment vertical="center" indent="1"/>
    </xf>
    <xf numFmtId="0" fontId="14" fillId="9" borderId="7" xfId="0" applyFont="1" applyFill="1" applyBorder="1" applyAlignment="1">
      <alignment vertical="center" indent="1"/>
    </xf>
    <xf numFmtId="0" fontId="15" fillId="2" borderId="0" xfId="0" applyFont="1" applyFill="1" applyAlignment="1">
      <alignment vertical="center" wrapText="1"/>
    </xf>
    <xf numFmtId="164" fontId="14" fillId="9" borderId="7" xfId="0" applyNumberFormat="1" applyFont="1" applyFill="1" applyBorder="1" applyAlignment="1">
      <alignment vertical="center" indent="1"/>
    </xf>
    <xf numFmtId="167" fontId="14" fillId="9" borderId="7" xfId="0" applyNumberFormat="1" applyFont="1" applyFill="1" applyBorder="1" applyAlignment="1">
      <alignment vertical="center" indent="1"/>
    </xf>
    <xf numFmtId="0" fontId="15" fillId="2" borderId="0" xfId="0" applyFont="1" applyFill="1" applyAlignment="1">
      <alignment vertical="top" wrapText="1"/>
    </xf>
    <xf numFmtId="0" fontId="16" fillId="3" borderId="8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left" vertical="center" indent="1"/>
    </xf>
    <xf numFmtId="0" fontId="17" fillId="9" borderId="6" xfId="0" applyFont="1" applyFill="1" applyBorder="1" applyAlignment="1">
      <alignment horizontal="left" vertical="center"/>
    </xf>
    <xf numFmtId="164" fontId="17" fillId="9" borderId="6" xfId="0" applyNumberFormat="1" applyFont="1" applyFill="1" applyBorder="1" applyAlignment="1">
      <alignment horizontal="right" vertical="center"/>
    </xf>
    <xf numFmtId="168" fontId="17" fillId="9" borderId="6" xfId="0" applyNumberFormat="1" applyFont="1" applyFill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0" fontId="17" fillId="8" borderId="6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left" vertical="center" indent="1"/>
    </xf>
    <xf numFmtId="0" fontId="18" fillId="4" borderId="9" xfId="0" applyFont="1" applyFill="1" applyBorder="1" applyAlignment="1">
      <alignment horizontal="right" vertical="center"/>
    </xf>
    <xf numFmtId="164" fontId="18" fillId="4" borderId="9" xfId="0" applyNumberFormat="1" applyFont="1" applyFill="1" applyBorder="1" applyAlignment="1">
      <alignment horizontal="right" vertical="center"/>
    </xf>
    <xf numFmtId="166" fontId="17" fillId="10" borderId="6" xfId="0" applyNumberFormat="1" applyFont="1" applyFill="1" applyBorder="1" applyAlignment="1">
      <alignment horizontal="center" vertical="center" indent="1"/>
    </xf>
    <xf numFmtId="165" fontId="17" fillId="10" borderId="6" xfId="0" applyNumberFormat="1" applyFont="1" applyFill="1" applyBorder="1" applyAlignment="1">
      <alignment horizontal="center" vertical="center"/>
    </xf>
    <xf numFmtId="164" fontId="17" fillId="10" borderId="6" xfId="0" applyNumberFormat="1" applyFont="1" applyFill="1" applyBorder="1" applyAlignment="1">
      <alignment horizontal="right" vertical="center"/>
    </xf>
    <xf numFmtId="169" fontId="17" fillId="10" borderId="6" xfId="0" applyNumberFormat="1" applyFont="1" applyFill="1" applyBorder="1" applyAlignment="1">
      <alignment horizontal="right" vertical="center"/>
    </xf>
    <xf numFmtId="166" fontId="17" fillId="8" borderId="6" xfId="0" applyNumberFormat="1" applyFont="1" applyFill="1" applyBorder="1" applyAlignment="1">
      <alignment horizontal="center" vertical="center" indent="1"/>
    </xf>
    <xf numFmtId="165" fontId="17" fillId="8" borderId="6" xfId="0" applyNumberFormat="1" applyFont="1" applyFill="1" applyBorder="1" applyAlignment="1">
      <alignment horizontal="center" vertical="center"/>
    </xf>
    <xf numFmtId="164" fontId="17" fillId="8" borderId="6" xfId="0" applyNumberFormat="1" applyFont="1" applyFill="1" applyBorder="1" applyAlignment="1">
      <alignment horizontal="right" vertical="center"/>
    </xf>
    <xf numFmtId="169" fontId="17" fillId="8" borderId="6" xfId="0" applyNumberFormat="1" applyFont="1" applyFill="1" applyBorder="1" applyAlignment="1">
      <alignment horizontal="right" vertical="center"/>
    </xf>
    <xf numFmtId="0" fontId="19" fillId="8" borderId="10" xfId="0" applyFont="1" applyFill="1" applyBorder="1"/>
    <xf numFmtId="0" fontId="20" fillId="8" borderId="0" xfId="0" applyFont="1" applyFill="1" applyAlignment="1">
      <alignment vertical="top" wrapText="1" indent="1"/>
    </xf>
    <xf numFmtId="165" fontId="0" fillId="0" borderId="0" xfId="0" applyNumberFormat="1"/>
    <xf numFmtId="164" fontId="0" fillId="0" borderId="0" xfId="0" applyNumberFormat="1"/>
    <xf numFmtId="169" fontId="0" fillId="0" borderId="0" xfId="0" applyNumberFormat="1"/>
  </cellXfs>
  <cellStyles count="1">
    <cellStyle name="Normal" xfId="0" builtinId="0"/>
  </cellStyles>
  <dxfs count="2">
    <dxf>
      <font>
        <b/>
        <color rgb="FF2F6B3A"/>
      </font>
      <fill>
        <patternFill patternType="solid">
          <fgColor rgb="FFDCEBD8"/>
        </patternFill>
      </fill>
    </dxf>
    <dxf>
      <font>
        <b/>
        <color rgb="FF2F6B3A"/>
      </font>
      <fill>
        <patternFill patternType="solid">
          <fgColor rgb="FFDCEB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Total balance</c:v>
          </c:tx>
          <c:spPr>
            <a:solidFill>
              <a:srgbClr val="B5654A"/>
            </a:solidFill>
            <a:ln>
              <a:noFill/>
            </a:ln>
          </c:spPr>
          <c:dLbls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'Data'!$B$81:$B$98</c:f>
            </c:strRef>
          </c:cat>
          <c:val>
            <c:numRef>
              <c:f>'Data'!$C$81:$C$98</c:f>
            </c:numRef>
          </c:val>
        </c:ser>
        <c:gapWidth val="30"/>
        <c:overlap val="-10"/>
        <c:axId val="111"/>
        <c:axId val="222"/>
      </c:barChart>
      <c:catAx>
        <c:axId val="111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ln>
            <a:noFill/>
          </a:ln>
        </c:spPr>
        <c:txPr>
          <a:bodyPr/>
          <a:p>
            <a:pPr>
              <a:defRPr sz="700" b="0">
                <a:solidFill>
                  <a:srgbClr val="3D3A37"/>
                </a:solidFill>
                <a:latin typeface="Arial"/>
              </a:defRPr>
            </a:pPr>
            <a:endParaRPr lang="en-US"/>
          </a:p>
        </c:txPr>
        <c:crossAx val="222"/>
        <c:crosses val="autoZero"/>
        <c:auto val="1"/>
        <c:lblAlgn val="ctr"/>
        <c:lblOffset val="100"/>
        <c:noMultiLvlLbl val="0"/>
      </c:catAx>
      <c:valAx>
        <c:axId val="222"/>
        <c:scaling>
          <c:orientation val="minMax"/>
        </c:scaling>
        <c:delete val="0"/>
        <c:axPos val="l"/>
        <c:majorGridlines>
          <c:spPr>
            <a:ln w="6350">
              <a:solidFill>
                <a:srgbClr val="EDE8E1"/>
              </a:solidFill>
            </a:ln>
          </c:spPr>
        </c:majorGridlines>
        <c:numFmt formatCode="$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p>
            <a:pPr>
              <a:defRPr sz="700" b="0">
                <a:solidFill>
                  <a:srgbClr val="8A847C"/>
                </a:solidFill>
                <a:latin typeface="Arial"/>
              </a:defRPr>
            </a:pPr>
            <a:endParaRPr lang="en-US"/>
          </a:p>
        </c:txPr>
        <c:crossAx val="111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B5654A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6E8B74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8E4A34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DDE7DF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6E8B74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C7A2A2"/>
              </a:solidFill>
              <a:ln w="12700">
                <a:solidFill>
                  <a:srgbClr val="FFFFFF"/>
                </a:solidFill>
              </a:ln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'Debts'!$B$6:$B$10</c:f>
            </c:strRef>
          </c:cat>
          <c:val>
            <c:numRef>
              <c:f>'Debts'!$D$6:$D$10</c:f>
            </c:numRef>
          </c:val>
        </c:ser>
        <c:firstSliceAng val="0"/>
        <c:holeSize val="55"/>
      </c:doughnutChart>
      <c:spPr>
        <a:noFill/>
        <a:ln>
          <a:noFill/>
        </a:ln>
      </c:spPr>
    </c:plotArea>
    <c:legend>
      <c:legendPos val="r"/>
      <c:overlay val="0"/>
      <c:txPr>
        <a:bodyPr/>
        <a:p>
          <a:pPr>
            <a:defRPr sz="650" b="0">
              <a:solidFill>
                <a:srgbClr val="3D3A37"/>
              </a:solidFill>
              <a:latin typeface="Arial"/>
            </a:defRPr>
          </a:pPr>
          <a:endParaRPr lang="en-US"/>
        </a:p>
      </c:txPr>
    </c:legend>
    <c:plotVisOnly val="1"/>
    <c:dispBlanksAs val="gap"/>
  </c:chart>
  <c:spPr>
    <a:noFill/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Total interest</c:v>
          </c:tx>
          <c:spPr>
            <a:solidFill>
              <a:srgbClr val="6E8B74"/>
            </a:solidFill>
            <a:ln>
              <a:noFill/>
            </a:ln>
          </c:spPr>
          <c:dLbls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'Data'!$A$12:$A$16</c:f>
            </c:strRef>
          </c:cat>
          <c:val>
            <c:numRef>
              <c:f>'Data'!$D$12:$D$16</c:f>
            </c:numRef>
          </c:val>
        </c:ser>
        <c:gapWidth val="40"/>
        <c:overlap val="-10"/>
        <c:axId val="111"/>
        <c:axId val="222"/>
      </c:barChart>
      <c:catAx>
        <c:axId val="111"/>
        <c:scaling>
          <c:orientation val="maxMin"/>
        </c:scaling>
        <c:delete val="0"/>
        <c:axPos val="l"/>
        <c:majorTickMark val="none"/>
        <c:minorTickMark val="none"/>
        <c:tickLblPos val="low"/>
        <c:spPr>
          <a:ln>
            <a:noFill/>
          </a:ln>
        </c:spPr>
        <c:txPr>
          <a:bodyPr/>
          <a:p>
            <a:pPr>
              <a:defRPr sz="700" b="0">
                <a:solidFill>
                  <a:srgbClr val="3D3A37"/>
                </a:solidFill>
                <a:latin typeface="Arial"/>
              </a:defRPr>
            </a:pPr>
            <a:endParaRPr lang="en-US"/>
          </a:p>
        </c:txPr>
        <c:crossAx val="222"/>
        <c:crosses val="autoZero"/>
        <c:auto val="1"/>
        <c:lblAlgn val="ctr"/>
        <c:lblOffset val="100"/>
        <c:noMultiLvlLbl val="0"/>
      </c:catAx>
      <c:valAx>
        <c:axId val="222"/>
        <c:scaling>
          <c:orientation val="minMax"/>
        </c:scaling>
        <c:delete val="0"/>
        <c:axPos val="b"/>
        <c:majorGridlines>
          <c:spPr>
            <a:ln w="6350">
              <a:solidFill>
                <a:srgbClr val="EDE8E1"/>
              </a:solidFill>
            </a:ln>
          </c:spPr>
        </c:majorGridlines>
        <c:numFmt formatCode="$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p>
            <a:pPr>
              <a:defRPr sz="700" b="0">
                <a:solidFill>
                  <a:srgbClr val="8A847C"/>
                </a:solidFill>
                <a:latin typeface="Arial"/>
              </a:defRPr>
            </a:pPr>
            <a:endParaRPr lang="en-US"/>
          </a:p>
        </c:txPr>
        <c:crossAx val="111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APR</c:v>
          </c:tx>
          <c:spPr>
            <a:solidFill>
              <a:srgbClr val="8E4A34"/>
            </a:solidFill>
            <a:ln>
              <a:noFill/>
            </a:ln>
          </c:spPr>
          <c:dLbls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'Debts'!$B$6:$B$10</c:f>
            </c:strRef>
          </c:cat>
          <c:val>
            <c:numRef>
              <c:f>'Debts'!$E$6:$E$10</c:f>
            </c:numRef>
          </c:val>
        </c:ser>
        <c:gapWidth val="40"/>
        <c:overlap val="-10"/>
        <c:axId val="111"/>
        <c:axId val="222"/>
      </c:barChart>
      <c:catAx>
        <c:axId val="111"/>
        <c:scaling>
          <c:orientation val="maxMin"/>
        </c:scaling>
        <c:delete val="0"/>
        <c:axPos val="l"/>
        <c:majorTickMark val="none"/>
        <c:minorTickMark val="none"/>
        <c:tickLblPos val="low"/>
        <c:spPr>
          <a:ln>
            <a:noFill/>
          </a:ln>
        </c:spPr>
        <c:txPr>
          <a:bodyPr/>
          <a:p>
            <a:pPr>
              <a:defRPr sz="700" b="0">
                <a:solidFill>
                  <a:srgbClr val="3D3A37"/>
                </a:solidFill>
                <a:latin typeface="Arial"/>
              </a:defRPr>
            </a:pPr>
            <a:endParaRPr lang="en-US"/>
          </a:p>
        </c:txPr>
        <c:crossAx val="222"/>
        <c:crosses val="autoZero"/>
        <c:auto val="1"/>
        <c:lblAlgn val="ctr"/>
        <c:lblOffset val="100"/>
        <c:noMultiLvlLbl val="0"/>
      </c:catAx>
      <c:valAx>
        <c:axId val="222"/>
        <c:scaling>
          <c:orientation val="minMax"/>
        </c:scaling>
        <c:delete val="0"/>
        <c:axPos val="b"/>
        <c:majorGridlines>
          <c:spPr>
            <a:ln w="6350">
              <a:solidFill>
                <a:srgbClr val="EDE8E1"/>
              </a:solidFill>
            </a:ln>
          </c:spPr>
        </c:majorGridlines>
        <c:numFmt formatCode="0%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p>
            <a:pPr>
              <a:defRPr sz="700" b="0">
                <a:solidFill>
                  <a:srgbClr val="8A847C"/>
                </a:solidFill>
                <a:latin typeface="Arial"/>
              </a:defRPr>
            </a:pPr>
            <a:endParaRPr lang="en-US"/>
          </a:p>
        </c:txPr>
        <c:crossAx val="111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14</xdr:col>
      <xdr:colOff>0</xdr:colOff>
      <xdr:row>30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15</xdr:col>
      <xdr:colOff>0</xdr:colOff>
      <xdr:row>10</xdr:row>
      <xdr:rowOff>0</xdr:rowOff>
    </xdr:from>
    <xdr:to>
      <xdr:col>26</xdr:col>
      <xdr:colOff>0</xdr:colOff>
      <xdr:row>22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15</xdr:col>
      <xdr:colOff>0</xdr:colOff>
      <xdr:row>24</xdr:row>
      <xdr:rowOff>0</xdr:rowOff>
    </xdr:from>
    <xdr:to>
      <xdr:col>26</xdr:col>
      <xdr:colOff>0</xdr:colOff>
      <xdr:row>32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15</xdr:col>
      <xdr:colOff>0</xdr:colOff>
      <xdr:row>34</xdr:row>
      <xdr:rowOff>0</xdr:rowOff>
    </xdr:from>
    <xdr:to>
      <xdr:col>26</xdr:col>
      <xdr:colOff>0</xdr:colOff>
      <xdr:row>40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8B74"/>
  </sheetPr>
  <dimension ref="A1:H30"/>
  <sheetViews>
    <sheetView workbookViewId="0" showGridLines="0" zoomScale="100"/>
  </sheetViews>
  <sheetFormatPr defaultRowHeight="15" outlineLevelRow="0" outlineLevelCol="0" x14ac:dyDescent="55"/>
  <cols>
    <col min="1" max="1" width="3" customWidth="1"/>
    <col min="2" max="2" width="26" customWidth="1"/>
    <col min="3" max="3" width="22" customWidth="1"/>
    <col min="4" max="4" width="3" customWidth="1"/>
    <col min="5" max="5" width="52" customWidth="1"/>
  </cols>
  <sheetData>
    <row r="1" ht="10" customHeight="1" spans="1:8" x14ac:dyDescent="0.25">
      <c r="A1" s="1"/>
      <c r="B1" s="1"/>
      <c r="C1" s="1"/>
      <c r="D1" s="1"/>
      <c r="E1" s="1"/>
      <c r="F1" s="1"/>
      <c r="G1" s="1"/>
      <c r="H1" s="1"/>
    </row>
    <row r="2" ht="34" customHeight="1" spans="1:8" x14ac:dyDescent="0.25">
      <c r="A2" s="1"/>
      <c r="B2" s="19" t="s">
        <v>10</v>
      </c>
      <c r="C2" s="19"/>
      <c r="D2" s="19"/>
      <c r="E2" s="19"/>
      <c r="F2" s="1"/>
      <c r="G2" s="1"/>
      <c r="H2" s="1"/>
    </row>
    <row r="3" ht="16" customHeight="1" spans="1:8" x14ac:dyDescent="0.25">
      <c r="A3" s="1"/>
      <c r="B3" s="20" t="s">
        <v>11</v>
      </c>
      <c r="C3" s="20"/>
      <c r="D3" s="20"/>
      <c r="E3" s="20"/>
      <c r="F3" s="1"/>
      <c r="G3" s="1"/>
      <c r="H3" s="1"/>
    </row>
    <row r="4" ht="10" customHeight="1" spans="1:8" x14ac:dyDescent="0.25">
      <c r="A4" s="1"/>
      <c r="B4" s="1"/>
      <c r="C4" s="1"/>
      <c r="D4" s="1"/>
      <c r="E4" s="1"/>
      <c r="F4" s="1"/>
      <c r="G4" s="1"/>
      <c r="H4" s="1"/>
    </row>
    <row r="5" ht="22" customHeight="1" spans="1:8" x14ac:dyDescent="0.25">
      <c r="A5" s="1"/>
      <c r="B5" s="21" t="s">
        <v>12</v>
      </c>
      <c r="C5" s="22" t="s">
        <v>13</v>
      </c>
      <c r="D5" s="1"/>
      <c r="E5" s="23" t="s">
        <v>14</v>
      </c>
      <c r="F5" s="1"/>
      <c r="G5" s="1"/>
      <c r="H5" s="1"/>
    </row>
    <row r="6" ht="22" customHeight="1" spans="1:8" x14ac:dyDescent="0.25">
      <c r="A6" s="1"/>
      <c r="B6" s="21" t="s">
        <v>15</v>
      </c>
      <c r="C6" s="22" t="s">
        <v>16</v>
      </c>
      <c r="D6" s="1"/>
      <c r="E6" s="23" t="s">
        <v>17</v>
      </c>
      <c r="F6" s="1"/>
      <c r="G6" s="1"/>
      <c r="H6" s="1"/>
    </row>
    <row r="7" ht="22" customHeight="1" spans="1:8" x14ac:dyDescent="0.25">
      <c r="A7" s="1"/>
      <c r="B7" s="21" t="s">
        <v>18</v>
      </c>
      <c r="C7" s="22" t="s">
        <v>19</v>
      </c>
      <c r="D7" s="1"/>
      <c r="E7" s="23" t="s">
        <v>20</v>
      </c>
      <c r="F7" s="1"/>
      <c r="G7" s="1"/>
      <c r="H7" s="1"/>
    </row>
    <row r="8" ht="22" customHeight="1" spans="1:8" x14ac:dyDescent="0.25">
      <c r="A8" s="1"/>
      <c r="B8" s="21" t="s">
        <v>21</v>
      </c>
      <c r="C8" s="24">
        <v>350</v>
      </c>
      <c r="D8" s="1"/>
      <c r="E8" s="23" t="s">
        <v>22</v>
      </c>
      <c r="F8" s="1"/>
      <c r="G8" s="1"/>
      <c r="H8" s="1"/>
    </row>
    <row r="9" ht="22" customHeight="1" spans="1:8" x14ac:dyDescent="0.25">
      <c r="A9" s="1"/>
      <c r="B9" s="21" t="s">
        <v>23</v>
      </c>
      <c r="C9" s="25">
        <v>46266</v>
      </c>
      <c r="D9" s="1"/>
      <c r="E9" s="23" t="s">
        <v>24</v>
      </c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26" t="s">
        <v>25</v>
      </c>
      <c r="C11" s="26"/>
      <c r="D11" s="26"/>
      <c r="E11" s="26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</sheetData>
  <mergeCells count="3">
    <mergeCell ref="B2:E2"/>
    <mergeCell ref="B3:E3"/>
    <mergeCell ref="B11:E11"/>
  </mergeCells>
  <dataValidations count="1">
    <dataValidation type="list" allowBlank="1" sqref="C7:C7">
      <formula1>"Snowball,Avalanche"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654A"/>
  </sheetPr>
  <dimension ref="A1:L3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24" customWidth="1"/>
    <col min="3" max="3" width="16" customWidth="1"/>
    <col min="4" max="4" width="13" customWidth="1"/>
    <col min="5" max="5" width="10" customWidth="1"/>
    <col min="6" max="6" width="13" customWidth="1"/>
    <col min="7" max="7" width="10" customWidth="1"/>
    <col min="8" max="8" width="30" customWidth="1"/>
    <col min="9" max="9" width="9" hidden="1" customWidth="1"/>
  </cols>
  <sheetData>
    <row r="1" ht="10" customHeight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4" customHeight="1" spans="1:12" x14ac:dyDescent="0.25">
      <c r="A2" s="1"/>
      <c r="B2" s="19" t="s">
        <v>26</v>
      </c>
      <c r="C2" s="19"/>
      <c r="D2" s="19"/>
      <c r="E2" s="19"/>
      <c r="F2" s="19"/>
      <c r="G2" s="19"/>
      <c r="H2" s="19"/>
      <c r="I2" s="19"/>
      <c r="J2" s="19"/>
      <c r="K2" s="1"/>
      <c r="L2" s="1"/>
    </row>
    <row r="3" ht="16" customHeight="1" spans="1:12" x14ac:dyDescent="0.25">
      <c r="A3" s="1"/>
      <c r="B3" s="20" t="s">
        <v>27</v>
      </c>
      <c r="C3" s="20"/>
      <c r="D3" s="20"/>
      <c r="E3" s="20"/>
      <c r="F3" s="20"/>
      <c r="G3" s="20"/>
      <c r="H3" s="20"/>
      <c r="I3" s="20"/>
      <c r="J3" s="20"/>
      <c r="K3" s="1"/>
      <c r="L3" s="1"/>
    </row>
    <row r="4" ht="10" customHeight="1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26" customHeight="1" spans="1:12" x14ac:dyDescent="0.25">
      <c r="A5" s="1"/>
      <c r="B5" s="27" t="s">
        <v>28</v>
      </c>
      <c r="C5" s="27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1"/>
      <c r="J5" s="1"/>
      <c r="K5" s="1"/>
      <c r="L5" s="1"/>
    </row>
    <row r="6" ht="18" customHeight="1" spans="1:12" x14ac:dyDescent="0.25">
      <c r="A6" s="1"/>
      <c r="B6" s="28" t="s">
        <v>35</v>
      </c>
      <c r="C6" s="29" t="s">
        <v>36</v>
      </c>
      <c r="D6" s="30">
        <v>3200</v>
      </c>
      <c r="E6" s="31">
        <v>0.2499</v>
      </c>
      <c r="F6" s="30">
        <v>95</v>
      </c>
      <c r="G6" s="32">
        <f>IF(B6="","",RANK(I6,$I$6:$I$11,IF(Setup!$C$7="Snowball",1,0)))</f>
      </c>
      <c r="H6" s="29" t="s">
        <v>37</v>
      </c>
      <c r="I6" s="1">
        <f>IF(B6="",999999+ROW()/1000000,IF(Setup!$C$7="Snowball",D6,E6)+ROW()/10000000)</f>
      </c>
      <c r="J6" s="1"/>
      <c r="K6" s="1"/>
      <c r="L6" s="1"/>
    </row>
    <row r="7" ht="18" customHeight="1" spans="1:12" x14ac:dyDescent="0.25">
      <c r="A7" s="1"/>
      <c r="B7" s="28" t="s">
        <v>38</v>
      </c>
      <c r="C7" s="29" t="s">
        <v>39</v>
      </c>
      <c r="D7" s="30">
        <v>850</v>
      </c>
      <c r="E7" s="31">
        <v>0.2799</v>
      </c>
      <c r="F7" s="30">
        <v>35</v>
      </c>
      <c r="G7" s="33">
        <f>IF(B7="","",RANK(I7,$I$6:$I$11,IF(Setup!$C$7="Snowball",1,0)))</f>
      </c>
      <c r="H7" s="29" t="s">
        <v>37</v>
      </c>
      <c r="I7" s="1">
        <f>IF(B7="",999999+ROW()/1000000,IF(Setup!$C$7="Snowball",D7,E7)+ROW()/10000000)</f>
      </c>
      <c r="J7" s="1"/>
      <c r="K7" s="1"/>
      <c r="L7" s="1"/>
    </row>
    <row r="8" ht="18" customHeight="1" spans="1:12" x14ac:dyDescent="0.25">
      <c r="A8" s="1"/>
      <c r="B8" s="28" t="s">
        <v>40</v>
      </c>
      <c r="C8" s="29" t="s">
        <v>41</v>
      </c>
      <c r="D8" s="30">
        <v>7200</v>
      </c>
      <c r="E8" s="31">
        <v>0.065</v>
      </c>
      <c r="F8" s="30">
        <v>260</v>
      </c>
      <c r="G8" s="32">
        <f>IF(B8="","",RANK(I8,$I$6:$I$11,IF(Setup!$C$7="Snowball",1,0)))</f>
      </c>
      <c r="H8" s="29" t="s">
        <v>37</v>
      </c>
      <c r="I8" s="1">
        <f>IF(B8="",999999+ROW()/1000000,IF(Setup!$C$7="Snowball",D8,E8)+ROW()/10000000)</f>
      </c>
      <c r="J8" s="1"/>
      <c r="K8" s="1"/>
      <c r="L8" s="1"/>
    </row>
    <row r="9" ht="18" customHeight="1" spans="1:12" x14ac:dyDescent="0.25">
      <c r="A9" s="1"/>
      <c r="B9" s="28" t="s">
        <v>42</v>
      </c>
      <c r="C9" s="29" t="s">
        <v>43</v>
      </c>
      <c r="D9" s="30">
        <v>9500</v>
      </c>
      <c r="E9" s="31">
        <v>0.052</v>
      </c>
      <c r="F9" s="30">
        <v>140</v>
      </c>
      <c r="G9" s="33">
        <f>IF(B9="","",RANK(I9,$I$6:$I$11,IF(Setup!$C$7="Snowball",1,0)))</f>
      </c>
      <c r="H9" s="29" t="s">
        <v>37</v>
      </c>
      <c r="I9" s="1">
        <f>IF(B9="",999999+ROW()/1000000,IF(Setup!$C$7="Snowball",D9,E9)+ROW()/10000000)</f>
      </c>
      <c r="J9" s="1"/>
      <c r="K9" s="1"/>
      <c r="L9" s="1"/>
    </row>
    <row r="10" ht="18" customHeight="1" spans="1:12" x14ac:dyDescent="0.25">
      <c r="A10" s="1"/>
      <c r="B10" s="28" t="s">
        <v>44</v>
      </c>
      <c r="C10" s="29" t="s">
        <v>45</v>
      </c>
      <c r="D10" s="30">
        <v>4200</v>
      </c>
      <c r="E10" s="31">
        <v>0.125</v>
      </c>
      <c r="F10" s="30">
        <v>150</v>
      </c>
      <c r="G10" s="32">
        <f>IF(B10="","",RANK(I10,$I$6:$I$11,IF(Setup!$C$7="Snowball",1,0)))</f>
      </c>
      <c r="H10" s="29" t="s">
        <v>37</v>
      </c>
      <c r="I10" s="1">
        <f>IF(B10="",999999+ROW()/1000000,IF(Setup!$C$7="Snowball",D10,E10)+ROW()/10000000)</f>
      </c>
      <c r="J10" s="1"/>
      <c r="K10" s="1"/>
      <c r="L10" s="1"/>
    </row>
    <row r="11" ht="18" customHeight="1" spans="1:12" x14ac:dyDescent="0.25">
      <c r="A11" s="1"/>
      <c r="B11" s="28"/>
      <c r="C11" s="29"/>
      <c r="D11" s="30"/>
      <c r="E11" s="31"/>
      <c r="F11" s="30"/>
      <c r="G11" s="33">
        <f>IF(B11="","",RANK(I11,$I$6:$I$11,IF(Setup!$C$7="Snowball",1,0)))</f>
      </c>
      <c r="H11" s="29"/>
      <c r="I11" s="1">
        <f>IF(B11="",999999+ROW()/1000000,IF(Setup!$C$7="Snowball",D11,E11)+ROW()/10000000)</f>
      </c>
      <c r="J11" s="1"/>
      <c r="K11" s="1"/>
      <c r="L11" s="1"/>
    </row>
    <row r="12" ht="22" customHeight="1" spans="1:12" x14ac:dyDescent="0.25">
      <c r="A12" s="1"/>
      <c r="B12" s="34" t="s">
        <v>46</v>
      </c>
      <c r="C12" s="35"/>
      <c r="D12" s="36">
        <f>SUM(D6:D11)</f>
      </c>
      <c r="E12" s="35"/>
      <c r="F12" s="36">
        <f>SUM(F6:F11)</f>
      </c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26" t="s">
        <v>47</v>
      </c>
      <c r="C14" s="26"/>
      <c r="D14" s="26"/>
      <c r="E14" s="26"/>
      <c r="F14" s="26"/>
      <c r="G14" s="26"/>
      <c r="H14" s="26"/>
      <c r="I14" s="26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mergeCells count="3">
    <mergeCell ref="B2:J2"/>
    <mergeCell ref="B3:J3"/>
    <mergeCell ref="B14:I14"/>
  </mergeCells>
  <conditionalFormatting sqref="G6:G11">
    <cfRule type="expression" dxfId="0" priority="1">
      <formula>G6=1</formula>
    </cfRule>
  </conditionalFormatting>
  <dataValidations count="1">
    <dataValidation type="list" allowBlank="1" sqref="C6:C11">
      <formula1>"Credit Card,Store Card,Student Loan,Car Loan,Personal Loan,Medical,Line of Credit,Other"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8B74"/>
  </sheetPr>
  <dimension ref="A1:J46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3" max="3" width="12" customWidth="1"/>
    <col min="4" max="4" width="15" customWidth="1"/>
    <col min="5" max="5" width="20" customWidth="1"/>
    <col min="6" max="6" width="18" customWidth="1"/>
  </cols>
  <sheetData>
    <row r="1" ht="10" customHeight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 x14ac:dyDescent="0.25">
      <c r="A2" s="1"/>
      <c r="B2" s="19" t="s">
        <v>48</v>
      </c>
      <c r="C2" s="19"/>
      <c r="D2" s="19"/>
      <c r="E2" s="19"/>
      <c r="F2" s="19"/>
      <c r="G2" s="19"/>
      <c r="H2" s="19"/>
      <c r="I2" s="1"/>
      <c r="J2" s="1"/>
    </row>
    <row r="3" ht="16" customHeight="1" spans="1:10" x14ac:dyDescent="0.25">
      <c r="A3" s="1"/>
      <c r="B3" s="20" t="s">
        <v>49</v>
      </c>
      <c r="C3" s="20"/>
      <c r="D3" s="20"/>
      <c r="E3" s="20"/>
      <c r="F3" s="20"/>
      <c r="G3" s="20"/>
      <c r="H3" s="20"/>
      <c r="I3" s="1"/>
      <c r="J3" s="1"/>
    </row>
    <row r="4" ht="10" customHeight="1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ht="26" customHeight="1" spans="1:10" x14ac:dyDescent="0.25">
      <c r="A5" s="1"/>
      <c r="B5" s="27" t="s">
        <v>50</v>
      </c>
      <c r="C5" s="27" t="s">
        <v>51</v>
      </c>
      <c r="D5" s="27" t="s">
        <v>52</v>
      </c>
      <c r="E5" s="27" t="s">
        <v>53</v>
      </c>
      <c r="F5" s="27" t="s">
        <v>54</v>
      </c>
      <c r="G5" s="1"/>
      <c r="H5" s="1"/>
      <c r="I5" s="1"/>
      <c r="J5" s="1"/>
    </row>
    <row r="6" ht="18" customHeight="1" spans="1:10" x14ac:dyDescent="0.25">
      <c r="A6" s="1"/>
      <c r="B6" s="37">
        <v>1</v>
      </c>
      <c r="C6" s="38">
        <f>Data!B42</f>
      </c>
      <c r="D6" s="39">
        <f>Data!O42</f>
      </c>
      <c r="E6" s="40">
        <f>Data!P42</f>
      </c>
      <c r="F6" s="39">
        <f>Data!P42</f>
      </c>
      <c r="G6" s="1"/>
      <c r="H6" s="1"/>
      <c r="I6" s="1"/>
      <c r="J6" s="1"/>
    </row>
    <row r="7" ht="18" customHeight="1" spans="1:10" x14ac:dyDescent="0.25">
      <c r="A7" s="1"/>
      <c r="B7" s="41">
        <v>2</v>
      </c>
      <c r="C7" s="42">
        <f>Data!B43</f>
      </c>
      <c r="D7" s="43">
        <f>Data!O43</f>
      </c>
      <c r="E7" s="44">
        <f>Data!P43-Data!P42</f>
      </c>
      <c r="F7" s="43">
        <f>Data!P43</f>
      </c>
      <c r="G7" s="1"/>
      <c r="H7" s="1"/>
      <c r="I7" s="1"/>
      <c r="J7" s="1"/>
    </row>
    <row r="8" ht="18" customHeight="1" spans="1:10" x14ac:dyDescent="0.25">
      <c r="A8" s="1"/>
      <c r="B8" s="37">
        <v>3</v>
      </c>
      <c r="C8" s="38">
        <f>Data!B44</f>
      </c>
      <c r="D8" s="39">
        <f>Data!O44</f>
      </c>
      <c r="E8" s="40">
        <f>Data!P44-Data!P43</f>
      </c>
      <c r="F8" s="39">
        <f>Data!P44</f>
      </c>
      <c r="G8" s="1"/>
      <c r="H8" s="1"/>
      <c r="I8" s="1"/>
      <c r="J8" s="1"/>
    </row>
    <row r="9" ht="18" customHeight="1" spans="1:10" x14ac:dyDescent="0.25">
      <c r="A9" s="1"/>
      <c r="B9" s="41">
        <v>4</v>
      </c>
      <c r="C9" s="42">
        <f>Data!B45</f>
      </c>
      <c r="D9" s="43">
        <f>Data!O45</f>
      </c>
      <c r="E9" s="44">
        <f>Data!P45-Data!P44</f>
      </c>
      <c r="F9" s="43">
        <f>Data!P45</f>
      </c>
      <c r="G9" s="1"/>
      <c r="H9" s="1"/>
      <c r="I9" s="1"/>
      <c r="J9" s="1"/>
    </row>
    <row r="10" ht="18" customHeight="1" spans="1:10" x14ac:dyDescent="0.25">
      <c r="A10" s="1"/>
      <c r="B10" s="37">
        <v>5</v>
      </c>
      <c r="C10" s="38">
        <f>Data!B46</f>
      </c>
      <c r="D10" s="39">
        <f>Data!O46</f>
      </c>
      <c r="E10" s="40">
        <f>Data!P46-Data!P45</f>
      </c>
      <c r="F10" s="39">
        <f>Data!P46</f>
      </c>
      <c r="G10" s="1"/>
      <c r="H10" s="1"/>
      <c r="I10" s="1"/>
      <c r="J10" s="1"/>
    </row>
    <row r="11" ht="18" customHeight="1" spans="1:10" x14ac:dyDescent="0.25">
      <c r="A11" s="1"/>
      <c r="B11" s="41">
        <v>6</v>
      </c>
      <c r="C11" s="42">
        <f>Data!B47</f>
      </c>
      <c r="D11" s="43">
        <f>Data!O47</f>
      </c>
      <c r="E11" s="44">
        <f>Data!P47-Data!P46</f>
      </c>
      <c r="F11" s="43">
        <f>Data!P47</f>
      </c>
      <c r="G11" s="1"/>
      <c r="H11" s="1"/>
      <c r="I11" s="1"/>
      <c r="J11" s="1"/>
    </row>
    <row r="12" ht="18" customHeight="1" spans="1:10" x14ac:dyDescent="0.25">
      <c r="A12" s="1"/>
      <c r="B12" s="37">
        <v>7</v>
      </c>
      <c r="C12" s="38">
        <f>Data!B48</f>
      </c>
      <c r="D12" s="39">
        <f>Data!O48</f>
      </c>
      <c r="E12" s="40">
        <f>Data!P48-Data!P47</f>
      </c>
      <c r="F12" s="39">
        <f>Data!P48</f>
      </c>
      <c r="G12" s="1"/>
      <c r="H12" s="1"/>
      <c r="I12" s="1"/>
      <c r="J12" s="1"/>
    </row>
    <row r="13" ht="18" customHeight="1" spans="1:10" x14ac:dyDescent="0.25">
      <c r="A13" s="1"/>
      <c r="B13" s="41">
        <v>8</v>
      </c>
      <c r="C13" s="42">
        <f>Data!B49</f>
      </c>
      <c r="D13" s="43">
        <f>Data!O49</f>
      </c>
      <c r="E13" s="44">
        <f>Data!P49-Data!P48</f>
      </c>
      <c r="F13" s="43">
        <f>Data!P49</f>
      </c>
      <c r="G13" s="1"/>
      <c r="H13" s="1"/>
      <c r="I13" s="1"/>
      <c r="J13" s="1"/>
    </row>
    <row r="14" ht="18" customHeight="1" spans="1:10" x14ac:dyDescent="0.25">
      <c r="A14" s="1"/>
      <c r="B14" s="37">
        <v>9</v>
      </c>
      <c r="C14" s="38">
        <f>Data!B50</f>
      </c>
      <c r="D14" s="39">
        <f>Data!O50</f>
      </c>
      <c r="E14" s="40">
        <f>Data!P50-Data!P49</f>
      </c>
      <c r="F14" s="39">
        <f>Data!P50</f>
      </c>
      <c r="G14" s="1"/>
      <c r="H14" s="1"/>
      <c r="I14" s="1"/>
      <c r="J14" s="1"/>
    </row>
    <row r="15" ht="18" customHeight="1" spans="1:10" x14ac:dyDescent="0.25">
      <c r="A15" s="1"/>
      <c r="B15" s="41">
        <v>10</v>
      </c>
      <c r="C15" s="42">
        <f>Data!B51</f>
      </c>
      <c r="D15" s="43">
        <f>Data!O51</f>
      </c>
      <c r="E15" s="44">
        <f>Data!P51-Data!P50</f>
      </c>
      <c r="F15" s="43">
        <f>Data!P51</f>
      </c>
      <c r="G15" s="1"/>
      <c r="H15" s="1"/>
      <c r="I15" s="1"/>
      <c r="J15" s="1"/>
    </row>
    <row r="16" ht="18" customHeight="1" spans="1:10" x14ac:dyDescent="0.25">
      <c r="A16" s="1"/>
      <c r="B16" s="37">
        <v>11</v>
      </c>
      <c r="C16" s="38">
        <f>Data!B52</f>
      </c>
      <c r="D16" s="39">
        <f>Data!O52</f>
      </c>
      <c r="E16" s="40">
        <f>Data!P52-Data!P51</f>
      </c>
      <c r="F16" s="39">
        <f>Data!P52</f>
      </c>
      <c r="G16" s="1"/>
      <c r="H16" s="1"/>
      <c r="I16" s="1"/>
      <c r="J16" s="1"/>
    </row>
    <row r="17" ht="18" customHeight="1" spans="1:10" x14ac:dyDescent="0.25">
      <c r="A17" s="1"/>
      <c r="B17" s="41">
        <v>12</v>
      </c>
      <c r="C17" s="42">
        <f>Data!B53</f>
      </c>
      <c r="D17" s="43">
        <f>Data!O53</f>
      </c>
      <c r="E17" s="44">
        <f>Data!P53-Data!P52</f>
      </c>
      <c r="F17" s="43">
        <f>Data!P53</f>
      </c>
      <c r="G17" s="1"/>
      <c r="H17" s="1"/>
      <c r="I17" s="1"/>
      <c r="J17" s="1"/>
    </row>
    <row r="18" ht="18" customHeight="1" spans="1:10" x14ac:dyDescent="0.25">
      <c r="A18" s="1"/>
      <c r="B18" s="37">
        <v>13</v>
      </c>
      <c r="C18" s="38">
        <f>Data!B54</f>
      </c>
      <c r="D18" s="39">
        <f>Data!O54</f>
      </c>
      <c r="E18" s="40">
        <f>Data!P54-Data!P53</f>
      </c>
      <c r="F18" s="39">
        <f>Data!P54</f>
      </c>
      <c r="G18" s="1"/>
      <c r="H18" s="1"/>
      <c r="I18" s="1"/>
      <c r="J18" s="1"/>
    </row>
    <row r="19" ht="18" customHeight="1" spans="1:10" x14ac:dyDescent="0.25">
      <c r="A19" s="1"/>
      <c r="B19" s="41">
        <v>14</v>
      </c>
      <c r="C19" s="42">
        <f>Data!B55</f>
      </c>
      <c r="D19" s="43">
        <f>Data!O55</f>
      </c>
      <c r="E19" s="44">
        <f>Data!P55-Data!P54</f>
      </c>
      <c r="F19" s="43">
        <f>Data!P55</f>
      </c>
      <c r="G19" s="1"/>
      <c r="H19" s="1"/>
      <c r="I19" s="1"/>
      <c r="J19" s="1"/>
    </row>
    <row r="20" ht="18" customHeight="1" spans="1:10" x14ac:dyDescent="0.25">
      <c r="A20" s="1"/>
      <c r="B20" s="37">
        <v>15</v>
      </c>
      <c r="C20" s="38">
        <f>Data!B56</f>
      </c>
      <c r="D20" s="39">
        <f>Data!O56</f>
      </c>
      <c r="E20" s="40">
        <f>Data!P56-Data!P55</f>
      </c>
      <c r="F20" s="39">
        <f>Data!P56</f>
      </c>
      <c r="G20" s="1"/>
      <c r="H20" s="1"/>
      <c r="I20" s="1"/>
      <c r="J20" s="1"/>
    </row>
    <row r="21" ht="18" customHeight="1" spans="1:10" x14ac:dyDescent="0.25">
      <c r="A21" s="1"/>
      <c r="B21" s="41">
        <v>16</v>
      </c>
      <c r="C21" s="42">
        <f>Data!B57</f>
      </c>
      <c r="D21" s="43">
        <f>Data!O57</f>
      </c>
      <c r="E21" s="44">
        <f>Data!P57-Data!P56</f>
      </c>
      <c r="F21" s="43">
        <f>Data!P57</f>
      </c>
      <c r="G21" s="1"/>
      <c r="H21" s="1"/>
      <c r="I21" s="1"/>
      <c r="J21" s="1"/>
    </row>
    <row r="22" ht="18" customHeight="1" spans="1:10" x14ac:dyDescent="0.25">
      <c r="A22" s="1"/>
      <c r="B22" s="37">
        <v>17</v>
      </c>
      <c r="C22" s="38">
        <f>Data!B58</f>
      </c>
      <c r="D22" s="39">
        <f>Data!O58</f>
      </c>
      <c r="E22" s="40">
        <f>Data!P58-Data!P57</f>
      </c>
      <c r="F22" s="39">
        <f>Data!P58</f>
      </c>
      <c r="G22" s="1"/>
      <c r="H22" s="1"/>
      <c r="I22" s="1"/>
      <c r="J22" s="1"/>
    </row>
    <row r="23" ht="18" customHeight="1" spans="1:10" x14ac:dyDescent="0.25">
      <c r="A23" s="1"/>
      <c r="B23" s="41">
        <v>18</v>
      </c>
      <c r="C23" s="42">
        <f>Data!B59</f>
      </c>
      <c r="D23" s="43">
        <f>Data!O59</f>
      </c>
      <c r="E23" s="44">
        <f>Data!P59-Data!P58</f>
      </c>
      <c r="F23" s="43">
        <f>Data!P59</f>
      </c>
      <c r="G23" s="1"/>
      <c r="H23" s="1"/>
      <c r="I23" s="1"/>
      <c r="J23" s="1"/>
    </row>
    <row r="24" ht="18" customHeight="1" spans="1:10" x14ac:dyDescent="0.25">
      <c r="A24" s="1"/>
      <c r="B24" s="37">
        <v>19</v>
      </c>
      <c r="C24" s="38">
        <f>Data!B60</f>
      </c>
      <c r="D24" s="39">
        <f>Data!O60</f>
      </c>
      <c r="E24" s="40">
        <f>Data!P60-Data!P59</f>
      </c>
      <c r="F24" s="39">
        <f>Data!P60</f>
      </c>
      <c r="G24" s="1"/>
      <c r="H24" s="1"/>
      <c r="I24" s="1"/>
      <c r="J24" s="1"/>
    </row>
    <row r="25" ht="18" customHeight="1" spans="1:10" x14ac:dyDescent="0.25">
      <c r="A25" s="1"/>
      <c r="B25" s="41">
        <v>20</v>
      </c>
      <c r="C25" s="42">
        <f>Data!B61</f>
      </c>
      <c r="D25" s="43">
        <f>Data!O61</f>
      </c>
      <c r="E25" s="44">
        <f>Data!P61-Data!P60</f>
      </c>
      <c r="F25" s="43">
        <f>Data!P61</f>
      </c>
      <c r="G25" s="1"/>
      <c r="H25" s="1"/>
      <c r="I25" s="1"/>
      <c r="J25" s="1"/>
    </row>
    <row r="26" ht="18" customHeight="1" spans="1:10" x14ac:dyDescent="0.25">
      <c r="A26" s="1"/>
      <c r="B26" s="37">
        <v>21</v>
      </c>
      <c r="C26" s="38">
        <f>Data!B62</f>
      </c>
      <c r="D26" s="39">
        <f>Data!O62</f>
      </c>
      <c r="E26" s="40">
        <f>Data!P62-Data!P61</f>
      </c>
      <c r="F26" s="39">
        <f>Data!P62</f>
      </c>
      <c r="G26" s="1"/>
      <c r="H26" s="1"/>
      <c r="I26" s="1"/>
      <c r="J26" s="1"/>
    </row>
    <row r="27" ht="18" customHeight="1" spans="1:10" x14ac:dyDescent="0.25">
      <c r="A27" s="1"/>
      <c r="B27" s="41">
        <v>22</v>
      </c>
      <c r="C27" s="42">
        <f>Data!B63</f>
      </c>
      <c r="D27" s="43">
        <f>Data!O63</f>
      </c>
      <c r="E27" s="44">
        <f>Data!P63-Data!P62</f>
      </c>
      <c r="F27" s="43">
        <f>Data!P63</f>
      </c>
      <c r="G27" s="1"/>
      <c r="H27" s="1"/>
      <c r="I27" s="1"/>
      <c r="J27" s="1"/>
    </row>
    <row r="28" ht="18" customHeight="1" spans="1:10" x14ac:dyDescent="0.25">
      <c r="A28" s="1"/>
      <c r="B28" s="37">
        <v>23</v>
      </c>
      <c r="C28" s="38">
        <f>Data!B64</f>
      </c>
      <c r="D28" s="39">
        <f>Data!O64</f>
      </c>
      <c r="E28" s="40">
        <f>Data!P64-Data!P63</f>
      </c>
      <c r="F28" s="39">
        <f>Data!P64</f>
      </c>
      <c r="G28" s="1"/>
      <c r="H28" s="1"/>
      <c r="I28" s="1"/>
      <c r="J28" s="1"/>
    </row>
    <row r="29" ht="18" customHeight="1" spans="1:10" x14ac:dyDescent="0.25">
      <c r="A29" s="1"/>
      <c r="B29" s="41">
        <v>24</v>
      </c>
      <c r="C29" s="42">
        <f>Data!B65</f>
      </c>
      <c r="D29" s="43">
        <f>Data!O65</f>
      </c>
      <c r="E29" s="44">
        <f>Data!P65-Data!P64</f>
      </c>
      <c r="F29" s="43">
        <f>Data!P65</f>
      </c>
      <c r="G29" s="1"/>
      <c r="H29" s="1"/>
      <c r="I29" s="1"/>
      <c r="J29" s="1"/>
    </row>
    <row r="30" ht="18" customHeight="1" spans="1:10" x14ac:dyDescent="0.25">
      <c r="A30" s="1"/>
      <c r="B30" s="37">
        <v>25</v>
      </c>
      <c r="C30" s="38">
        <f>Data!B66</f>
      </c>
      <c r="D30" s="39">
        <f>Data!O66</f>
      </c>
      <c r="E30" s="40">
        <f>Data!P66-Data!P65</f>
      </c>
      <c r="F30" s="39">
        <f>Data!P66</f>
      </c>
      <c r="G30" s="1"/>
      <c r="H30" s="1"/>
      <c r="I30" s="1"/>
      <c r="J30" s="1"/>
    </row>
    <row r="31" ht="18" customHeight="1" spans="1:10" x14ac:dyDescent="0.25">
      <c r="A31" s="1"/>
      <c r="B31" s="41">
        <v>26</v>
      </c>
      <c r="C31" s="42">
        <f>Data!B67</f>
      </c>
      <c r="D31" s="43">
        <f>Data!O67</f>
      </c>
      <c r="E31" s="44">
        <f>Data!P67-Data!P66</f>
      </c>
      <c r="F31" s="43">
        <f>Data!P67</f>
      </c>
      <c r="G31" s="1"/>
      <c r="H31" s="1"/>
      <c r="I31" s="1"/>
      <c r="J31" s="1"/>
    </row>
    <row r="32" ht="18" customHeight="1" spans="1:10" x14ac:dyDescent="0.25">
      <c r="A32" s="1"/>
      <c r="B32" s="37">
        <v>27</v>
      </c>
      <c r="C32" s="38">
        <f>Data!B68</f>
      </c>
      <c r="D32" s="39">
        <f>Data!O68</f>
      </c>
      <c r="E32" s="40">
        <f>Data!P68-Data!P67</f>
      </c>
      <c r="F32" s="39">
        <f>Data!P68</f>
      </c>
      <c r="G32" s="1"/>
      <c r="H32" s="1"/>
      <c r="I32" s="1"/>
      <c r="J32" s="1"/>
    </row>
    <row r="33" ht="18" customHeight="1" spans="1:10" x14ac:dyDescent="0.25">
      <c r="A33" s="1"/>
      <c r="B33" s="41">
        <v>28</v>
      </c>
      <c r="C33" s="42">
        <f>Data!B69</f>
      </c>
      <c r="D33" s="43">
        <f>Data!O69</f>
      </c>
      <c r="E33" s="44">
        <f>Data!P69-Data!P68</f>
      </c>
      <c r="F33" s="43">
        <f>Data!P69</f>
      </c>
      <c r="G33" s="1"/>
      <c r="H33" s="1"/>
      <c r="I33" s="1"/>
      <c r="J33" s="1"/>
    </row>
    <row r="34" ht="18" customHeight="1" spans="1:10" x14ac:dyDescent="0.25">
      <c r="A34" s="1"/>
      <c r="B34" s="37">
        <v>29</v>
      </c>
      <c r="C34" s="38">
        <f>Data!B70</f>
      </c>
      <c r="D34" s="39">
        <f>Data!O70</f>
      </c>
      <c r="E34" s="40">
        <f>Data!P70-Data!P69</f>
      </c>
      <c r="F34" s="39">
        <f>Data!P70</f>
      </c>
      <c r="G34" s="1"/>
      <c r="H34" s="1"/>
      <c r="I34" s="1"/>
      <c r="J34" s="1"/>
    </row>
    <row r="35" ht="18" customHeight="1" spans="1:10" x14ac:dyDescent="0.25">
      <c r="A35" s="1"/>
      <c r="B35" s="41">
        <v>30</v>
      </c>
      <c r="C35" s="42">
        <f>Data!B71</f>
      </c>
      <c r="D35" s="43">
        <f>Data!O71</f>
      </c>
      <c r="E35" s="44">
        <f>Data!P71-Data!P70</f>
      </c>
      <c r="F35" s="43">
        <f>Data!P71</f>
      </c>
      <c r="G35" s="1"/>
      <c r="H35" s="1"/>
      <c r="I35" s="1"/>
      <c r="J35" s="1"/>
    </row>
    <row r="36" ht="18" customHeight="1" spans="1:10" x14ac:dyDescent="0.25">
      <c r="A36" s="1"/>
      <c r="B36" s="37">
        <v>31</v>
      </c>
      <c r="C36" s="38">
        <f>Data!B72</f>
      </c>
      <c r="D36" s="39">
        <f>Data!O72</f>
      </c>
      <c r="E36" s="40">
        <f>Data!P72-Data!P71</f>
      </c>
      <c r="F36" s="39">
        <f>Data!P72</f>
      </c>
      <c r="G36" s="1"/>
      <c r="H36" s="1"/>
      <c r="I36" s="1"/>
      <c r="J36" s="1"/>
    </row>
    <row r="37" ht="18" customHeight="1" spans="1:10" x14ac:dyDescent="0.25">
      <c r="A37" s="1"/>
      <c r="B37" s="41">
        <v>32</v>
      </c>
      <c r="C37" s="42">
        <f>Data!B73</f>
      </c>
      <c r="D37" s="43">
        <f>Data!O73</f>
      </c>
      <c r="E37" s="44">
        <f>Data!P73-Data!P72</f>
      </c>
      <c r="F37" s="43">
        <f>Data!P73</f>
      </c>
      <c r="G37" s="1"/>
      <c r="H37" s="1"/>
      <c r="I37" s="1"/>
      <c r="J37" s="1"/>
    </row>
    <row r="38" ht="18" customHeight="1" spans="1:10" x14ac:dyDescent="0.25">
      <c r="A38" s="1"/>
      <c r="B38" s="37">
        <v>33</v>
      </c>
      <c r="C38" s="38">
        <f>Data!B74</f>
      </c>
      <c r="D38" s="39">
        <f>Data!O74</f>
      </c>
      <c r="E38" s="40">
        <f>Data!P74-Data!P73</f>
      </c>
      <c r="F38" s="39">
        <f>Data!P74</f>
      </c>
      <c r="G38" s="1"/>
      <c r="H38" s="1"/>
      <c r="I38" s="1"/>
      <c r="J38" s="1"/>
    </row>
    <row r="39" ht="18" customHeight="1" spans="1:10" x14ac:dyDescent="0.25">
      <c r="A39" s="1"/>
      <c r="B39" s="41">
        <v>34</v>
      </c>
      <c r="C39" s="42">
        <f>Data!B75</f>
      </c>
      <c r="D39" s="43">
        <f>Data!O75</f>
      </c>
      <c r="E39" s="44">
        <f>Data!P75-Data!P74</f>
      </c>
      <c r="F39" s="43">
        <f>Data!P75</f>
      </c>
      <c r="G39" s="1"/>
      <c r="H39" s="1"/>
      <c r="I39" s="1"/>
      <c r="J39" s="1"/>
    </row>
    <row r="40" ht="18" customHeight="1" spans="1:10" x14ac:dyDescent="0.25">
      <c r="A40" s="1"/>
      <c r="B40" s="37">
        <v>35</v>
      </c>
      <c r="C40" s="38">
        <f>Data!B76</f>
      </c>
      <c r="D40" s="39">
        <f>Data!O76</f>
      </c>
      <c r="E40" s="40">
        <f>Data!P76-Data!P75</f>
      </c>
      <c r="F40" s="39">
        <f>Data!P76</f>
      </c>
      <c r="G40" s="1"/>
      <c r="H40" s="1"/>
      <c r="I40" s="1"/>
      <c r="J40" s="1"/>
    </row>
    <row r="41" ht="18" customHeight="1" spans="1:10" x14ac:dyDescent="0.25">
      <c r="A41" s="1"/>
      <c r="B41" s="41">
        <v>36</v>
      </c>
      <c r="C41" s="42">
        <f>Data!B77</f>
      </c>
      <c r="D41" s="43">
        <f>Data!O77</f>
      </c>
      <c r="E41" s="44">
        <f>Data!P77-Data!P76</f>
      </c>
      <c r="F41" s="43">
        <f>Data!P77</f>
      </c>
      <c r="G41" s="1"/>
      <c r="H41" s="1"/>
      <c r="I41" s="1"/>
      <c r="J41" s="1"/>
    </row>
    <row r="42" spans="1:1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1"/>
      <c r="B43" s="26" t="s">
        <v>55</v>
      </c>
      <c r="C43" s="26"/>
      <c r="D43" s="26"/>
      <c r="E43" s="26"/>
      <c r="F43" s="26"/>
      <c r="G43" s="26"/>
      <c r="H43" s="26"/>
      <c r="I43" s="1"/>
      <c r="J43" s="1"/>
    </row>
    <row r="44" spans="1:1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3">
    <mergeCell ref="B2:H2"/>
    <mergeCell ref="B3:H3"/>
    <mergeCell ref="B43:H43"/>
  </mergeCells>
  <conditionalFormatting sqref="D6:D41">
    <cfRule type="expression" dxfId="1" priority="1">
      <formula>D6=0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8B74"/>
  </sheetPr>
  <dimension ref="A1:R98"/>
  <sheetFormatPr defaultRowHeight="15" outlineLevelRow="0" outlineLevelCol="0" x14ac:dyDescent="55"/>
  <cols>
    <col min="1" max="1" width="24" customWidth="1"/>
    <col min="2" max="4" width="13" customWidth="1"/>
  </cols>
  <sheetData>
    <row r="1" spans="1:1" x14ac:dyDescent="0.25">
      <c r="A1" t="s">
        <v>75</v>
      </c>
    </row>
    <row r="2" spans="1:2" x14ac:dyDescent="0.25">
      <c r="A2" t="s">
        <v>76</v>
      </c>
      <c r="B2">
        <f>SUM(Debts!D6:D11)</f>
      </c>
    </row>
    <row r="3" spans="1:2" x14ac:dyDescent="0.25">
      <c r="A3" t="s">
        <v>77</v>
      </c>
      <c r="B3">
        <f>SUM(Debts!F6:F11)</f>
      </c>
    </row>
    <row r="4" spans="1:2" x14ac:dyDescent="0.25">
      <c r="A4" t="s">
        <v>78</v>
      </c>
      <c r="B4">
        <f>B3+Setup!$C$8</f>
      </c>
    </row>
    <row r="5" spans="1:2" x14ac:dyDescent="0.25">
      <c r="A5" t="s">
        <v>79</v>
      </c>
      <c r="B5">
        <f>IFERROR(MATCH(0,$O$42:$O$77,0),"")</f>
      </c>
    </row>
    <row r="6" spans="1:2" x14ac:dyDescent="0.25">
      <c r="A6" t="s">
        <v>80</v>
      </c>
      <c r="B6">
        <f>IF(B5="","beyond 3 years",EDATE(Setup!$C$9,B5-1))</f>
      </c>
    </row>
    <row r="7" spans="1:2" x14ac:dyDescent="0.25">
      <c r="A7" t="s">
        <v>81</v>
      </c>
      <c r="B7">
        <f>IF(B5="","36+",B5)</f>
      </c>
    </row>
    <row r="8" spans="1:2" x14ac:dyDescent="0.25">
      <c r="A8" t="s">
        <v>82</v>
      </c>
      <c r="B8">
        <f>IF(B5="",$P$77,INDEX($P$42:$P$77,B5))</f>
      </c>
    </row>
    <row r="9" spans="1:2" x14ac:dyDescent="0.25">
      <c r="A9" t="s">
        <v>83</v>
      </c>
      <c r="B9">
        <f>IF(B5="","still paying down 3 years out","debt-free")</f>
      </c>
    </row>
    <row r="11" spans="1:4" x14ac:dyDescent="0.25">
      <c r="A11" t="s">
        <v>28</v>
      </c>
      <c r="B11" t="s">
        <v>29</v>
      </c>
      <c r="C11" t="s">
        <v>30</v>
      </c>
      <c r="D11" t="s">
        <v>84</v>
      </c>
    </row>
    <row r="12" spans="1:4" x14ac:dyDescent="0.25">
      <c r="A12">
        <f>IF(Debts!$B$6="","",Debts!$B$6)</f>
      </c>
      <c r="B12">
        <f>IF(Debts!$B$6="","",Debts!C6)</f>
      </c>
      <c r="C12">
        <f>IF(Debts!$B$6="",0,Debts!D6)</f>
      </c>
      <c r="D12">
        <f>IF(Debts!$B$6="",0,SUM(D42:D77))</f>
      </c>
    </row>
    <row r="13" spans="1:4" x14ac:dyDescent="0.25">
      <c r="A13">
        <f>IF(Debts!$B$7="","",Debts!$B$7)</f>
      </c>
      <c r="B13">
        <f>IF(Debts!$B$7="","",Debts!C7)</f>
      </c>
      <c r="C13">
        <f>IF(Debts!$B$7="",0,Debts!D7)</f>
      </c>
      <c r="D13">
        <f>IF(Debts!$B$7="",0,SUM(F42:F77))</f>
      </c>
    </row>
    <row r="14" spans="1:4" x14ac:dyDescent="0.25">
      <c r="A14">
        <f>IF(Debts!$B$8="","",Debts!$B$8)</f>
      </c>
      <c r="B14">
        <f>IF(Debts!$B$8="","",Debts!C8)</f>
      </c>
      <c r="C14">
        <f>IF(Debts!$B$8="",0,Debts!D8)</f>
      </c>
      <c r="D14">
        <f>IF(Debts!$B$8="",0,SUM(H42:H77))</f>
      </c>
    </row>
    <row r="15" spans="1:4" x14ac:dyDescent="0.25">
      <c r="A15">
        <f>IF(Debts!$B$9="","",Debts!$B$9)</f>
      </c>
      <c r="B15">
        <f>IF(Debts!$B$9="","",Debts!C9)</f>
      </c>
      <c r="C15">
        <f>IF(Debts!$B$9="",0,Debts!D9)</f>
      </c>
      <c r="D15">
        <f>IF(Debts!$B$9="",0,SUM(J42:J77))</f>
      </c>
    </row>
    <row r="16" spans="1:4" x14ac:dyDescent="0.25">
      <c r="A16">
        <f>IF(Debts!$B$10="","",Debts!$B$10)</f>
      </c>
      <c r="B16">
        <f>IF(Debts!$B$10="","",Debts!C10)</f>
      </c>
      <c r="C16">
        <f>IF(Debts!$B$10="",0,Debts!D10)</f>
      </c>
      <c r="D16">
        <f>IF(Debts!$B$10="",0,SUM(L42:L77))</f>
      </c>
    </row>
    <row r="17" spans="1:4" x14ac:dyDescent="0.25">
      <c r="A17">
        <f>IF(Debts!$B$11="","",Debts!$B$11)</f>
      </c>
      <c r="B17">
        <f>IF(Debts!$B$11="","",Debts!C11)</f>
      </c>
      <c r="C17">
        <f>IF(Debts!$B$11="",0,Debts!D11)</f>
      </c>
      <c r="D17">
        <f>IF(Debts!$B$11="",0,SUM(N42:N77))</f>
      </c>
    </row>
    <row r="41" spans="1:18" x14ac:dyDescent="0.25">
      <c r="A41" t="s">
        <v>50</v>
      </c>
      <c r="B41" t="s">
        <v>51</v>
      </c>
      <c r="C41" t="s">
        <v>85</v>
      </c>
      <c r="D41" t="s">
        <v>86</v>
      </c>
      <c r="E41" t="s">
        <v>87</v>
      </c>
      <c r="F41" t="s">
        <v>88</v>
      </c>
      <c r="G41" t="s">
        <v>89</v>
      </c>
      <c r="H41" t="s">
        <v>90</v>
      </c>
      <c r="I41" t="s">
        <v>91</v>
      </c>
      <c r="J41" t="s">
        <v>92</v>
      </c>
      <c r="K41" t="s">
        <v>93</v>
      </c>
      <c r="L41" t="s">
        <v>94</v>
      </c>
      <c r="M41" t="s">
        <v>95</v>
      </c>
      <c r="N41" t="s">
        <v>96</v>
      </c>
      <c r="O41" t="s">
        <v>52</v>
      </c>
      <c r="P41" t="s">
        <v>97</v>
      </c>
      <c r="Q41" t="s">
        <v>98</v>
      </c>
      <c r="R41" t="s">
        <v>99</v>
      </c>
    </row>
    <row r="42" spans="1:18" x14ac:dyDescent="0.25">
      <c r="A42">
        <v>1</v>
      </c>
      <c r="B42" s="47">
        <f>EDATE(Setup!$C$9,0)</f>
      </c>
      <c r="C42" s="48">
        <f>IF(Debts!$B$6="","",IF(Debts!D6&lt;=0,0,MAX(0,ROUND((Debts!D6+D42)-MIN((Debts!D6+D42),Debts!$F$6+IF(AND(Debts!$B$6&lt;&gt;"",Debts!D6&gt;0,Debts!$G$6=$Q42),$R42,0)),2))))</f>
      </c>
      <c r="D42" s="49">
        <f>IF(OR(Debts!$B$6="",Debts!D6&lt;=0),0,ROUND(Debts!D6*Debts!$E$6/12,2))</f>
      </c>
      <c r="E42" s="48">
        <f>IF(Debts!$B$7="","",IF(Debts!D7&lt;=0,0,MAX(0,ROUND((Debts!D7+F42)-MIN((Debts!D7+F42),Debts!$F$7+IF(AND(Debts!$B$7&lt;&gt;"",Debts!D7&gt;0,Debts!$G$7=$Q42),$R42,0)),2))))</f>
      </c>
      <c r="F42" s="49">
        <f>IF(OR(Debts!$B$7="",Debts!D7&lt;=0),0,ROUND(Debts!D7*Debts!$E$7/12,2))</f>
      </c>
      <c r="G42" s="48">
        <f>IF(Debts!$B$8="","",IF(Debts!D8&lt;=0,0,MAX(0,ROUND((Debts!D8+H42)-MIN((Debts!D8+H42),Debts!$F$8+IF(AND(Debts!$B$8&lt;&gt;"",Debts!D8&gt;0,Debts!$G$8=$Q42),$R42,0)),2))))</f>
      </c>
      <c r="H42" s="49">
        <f>IF(OR(Debts!$B$8="",Debts!D8&lt;=0),0,ROUND(Debts!D8*Debts!$E$8/12,2))</f>
      </c>
      <c r="I42" s="48">
        <f>IF(Debts!$B$9="","",IF(Debts!D9&lt;=0,0,MAX(0,ROUND((Debts!D9+J42)-MIN((Debts!D9+J42),Debts!$F$9+IF(AND(Debts!$B$9&lt;&gt;"",Debts!D9&gt;0,Debts!$G$9=$Q42),$R42,0)),2))))</f>
      </c>
      <c r="J42" s="49">
        <f>IF(OR(Debts!$B$9="",Debts!D9&lt;=0),0,ROUND(Debts!D9*Debts!$E$9/12,2))</f>
      </c>
      <c r="K42" s="48">
        <f>IF(Debts!$B$10="","",IF(Debts!D10&lt;=0,0,MAX(0,ROUND((Debts!D10+L42)-MIN((Debts!D10+L42),Debts!$F$10+IF(AND(Debts!$B$10&lt;&gt;"",Debts!D10&gt;0,Debts!$G$10=$Q42),$R42,0)),2))))</f>
      </c>
      <c r="L42" s="49">
        <f>IF(OR(Debts!$B$10="",Debts!D10&lt;=0),0,ROUND(Debts!D10*Debts!$E$10/12,2))</f>
      </c>
      <c r="M42" s="48">
        <f>IF(Debts!$B$11="","",IF(Debts!D11&lt;=0,0,MAX(0,ROUND((Debts!D11+N42)-MIN((Debts!D11+N42),Debts!$F$11+IF(AND(Debts!$B$11&lt;&gt;"",Debts!D11&gt;0,Debts!$G$11=$Q42),$R42,0)),2))))</f>
      </c>
      <c r="N42" s="49">
        <f>IF(OR(Debts!$B$11="",Debts!D11&lt;=0),0,ROUND(Debts!D11*Debts!$E$11/12,2))</f>
      </c>
      <c r="O42" s="48">
        <f>SUM(C42,E42,G42,I42,K42,M42)</f>
      </c>
      <c r="P42" s="48">
        <f>SUM(D42,F42,H42,J42,L42,N42)</f>
      </c>
      <c r="Q42">
        <f>MIN(IF(AND(Debts!$B$6&lt;&gt;"",Debts!D6&gt;0),Debts!$G$6,999),IF(AND(Debts!$B$7&lt;&gt;"",Debts!D7&gt;0),Debts!$G$7,999),IF(AND(Debts!$B$8&lt;&gt;"",Debts!D8&gt;0),Debts!$G$8,999),IF(AND(Debts!$B$9&lt;&gt;"",Debts!D9&gt;0),Debts!$G$9,999),IF(AND(Debts!$B$10&lt;&gt;"",Debts!D10&gt;0),Debts!$G$10,999),IF(AND(Debts!$B$11&lt;&gt;"",Debts!D11&gt;0),Debts!$G$11,999))</f>
      </c>
      <c r="R42">
        <f>Setup!$C$8+IF(AND(Debts!$B$6&lt;&gt;"",Debts!D6&lt;=0),Debts!$F$6,0)+IF(AND(Debts!$B$7&lt;&gt;"",Debts!D7&lt;=0),Debts!$F$7,0)+IF(AND(Debts!$B$8&lt;&gt;"",Debts!D8&lt;=0),Debts!$F$8,0)+IF(AND(Debts!$B$9&lt;&gt;"",Debts!D9&lt;=0),Debts!$F$9,0)+IF(AND(Debts!$B$10&lt;&gt;"",Debts!D10&lt;=0),Debts!$F$10,0)+IF(AND(Debts!$B$11&lt;&gt;"",Debts!D11&lt;=0),Debts!$F$11,0)</f>
      </c>
    </row>
    <row r="43" spans="1:18" x14ac:dyDescent="0.25">
      <c r="A43">
        <v>2</v>
      </c>
      <c r="B43" s="47">
        <f>EDATE(Setup!$C$9,1)</f>
      </c>
      <c r="C43" s="48">
        <f>IF(Debts!$B$6="","",IF(C42&lt;=0,0,MAX(0,ROUND((C42+D43)-MIN((C42+D43),Debts!$F$6+IF(AND(Debts!$B$6&lt;&gt;"",C42&gt;0,Debts!$G$6=$Q43),$R43,0)),2))))</f>
      </c>
      <c r="D43" s="49">
        <f>IF(OR(Debts!$B$6="",C42&lt;=0),0,ROUND(C42*Debts!$E$6/12,2))</f>
      </c>
      <c r="E43" s="48">
        <f>IF(Debts!$B$7="","",IF(E42&lt;=0,0,MAX(0,ROUND((E42+F43)-MIN((E42+F43),Debts!$F$7+IF(AND(Debts!$B$7&lt;&gt;"",E42&gt;0,Debts!$G$7=$Q43),$R43,0)),2))))</f>
      </c>
      <c r="F43" s="49">
        <f>IF(OR(Debts!$B$7="",E42&lt;=0),0,ROUND(E42*Debts!$E$7/12,2))</f>
      </c>
      <c r="G43" s="48">
        <f>IF(Debts!$B$8="","",IF(G42&lt;=0,0,MAX(0,ROUND((G42+H43)-MIN((G42+H43),Debts!$F$8+IF(AND(Debts!$B$8&lt;&gt;"",G42&gt;0,Debts!$G$8=$Q43),$R43,0)),2))))</f>
      </c>
      <c r="H43" s="49">
        <f>IF(OR(Debts!$B$8="",G42&lt;=0),0,ROUND(G42*Debts!$E$8/12,2))</f>
      </c>
      <c r="I43" s="48">
        <f>IF(Debts!$B$9="","",IF(I42&lt;=0,0,MAX(0,ROUND((I42+J43)-MIN((I42+J43),Debts!$F$9+IF(AND(Debts!$B$9&lt;&gt;"",I42&gt;0,Debts!$G$9=$Q43),$R43,0)),2))))</f>
      </c>
      <c r="J43" s="49">
        <f>IF(OR(Debts!$B$9="",I42&lt;=0),0,ROUND(I42*Debts!$E$9/12,2))</f>
      </c>
      <c r="K43" s="48">
        <f>IF(Debts!$B$10="","",IF(K42&lt;=0,0,MAX(0,ROUND((K42+L43)-MIN((K42+L43),Debts!$F$10+IF(AND(Debts!$B$10&lt;&gt;"",K42&gt;0,Debts!$G$10=$Q43),$R43,0)),2))))</f>
      </c>
      <c r="L43" s="49">
        <f>IF(OR(Debts!$B$10="",K42&lt;=0),0,ROUND(K42*Debts!$E$10/12,2))</f>
      </c>
      <c r="M43" s="48">
        <f>IF(Debts!$B$11="","",IF(M42&lt;=0,0,MAX(0,ROUND((M42+N43)-MIN((M42+N43),Debts!$F$11+IF(AND(Debts!$B$11&lt;&gt;"",M42&gt;0,Debts!$G$11=$Q43),$R43,0)),2))))</f>
      </c>
      <c r="N43" s="49">
        <f>IF(OR(Debts!$B$11="",M42&lt;=0),0,ROUND(M42*Debts!$E$11/12,2))</f>
      </c>
      <c r="O43" s="48">
        <f>SUM(C43,E43,G43,I43,K43,M43)</f>
      </c>
      <c r="P43" s="48">
        <f>P42+SUM(D43,F43,H43,J43,L43,N43)</f>
      </c>
      <c r="Q43">
        <f>MIN(IF(AND(Debts!$B$6&lt;&gt;"",C42&gt;0),Debts!$G$6,999),IF(AND(Debts!$B$7&lt;&gt;"",E42&gt;0),Debts!$G$7,999),IF(AND(Debts!$B$8&lt;&gt;"",G42&gt;0),Debts!$G$8,999),IF(AND(Debts!$B$9&lt;&gt;"",I42&gt;0),Debts!$G$9,999),IF(AND(Debts!$B$10&lt;&gt;"",K42&gt;0),Debts!$G$10,999),IF(AND(Debts!$B$11&lt;&gt;"",M42&gt;0),Debts!$G$11,999))</f>
      </c>
      <c r="R43">
        <f>Setup!$C$8+IF(AND(Debts!$B$6&lt;&gt;"",C42&lt;=0),Debts!$F$6,0)+IF(AND(Debts!$B$7&lt;&gt;"",E42&lt;=0),Debts!$F$7,0)+IF(AND(Debts!$B$8&lt;&gt;"",G42&lt;=0),Debts!$F$8,0)+IF(AND(Debts!$B$9&lt;&gt;"",I42&lt;=0),Debts!$F$9,0)+IF(AND(Debts!$B$10&lt;&gt;"",K42&lt;=0),Debts!$F$10,0)+IF(AND(Debts!$B$11&lt;&gt;"",M42&lt;=0),Debts!$F$11,0)</f>
      </c>
    </row>
    <row r="44" spans="1:18" x14ac:dyDescent="0.25">
      <c r="A44">
        <v>3</v>
      </c>
      <c r="B44" s="47">
        <f>EDATE(Setup!$C$9,2)</f>
      </c>
      <c r="C44" s="48">
        <f>IF(Debts!$B$6="","",IF(C43&lt;=0,0,MAX(0,ROUND((C43+D44)-MIN((C43+D44),Debts!$F$6+IF(AND(Debts!$B$6&lt;&gt;"",C43&gt;0,Debts!$G$6=$Q44),$R44,0)),2))))</f>
      </c>
      <c r="D44" s="49">
        <f>IF(OR(Debts!$B$6="",C43&lt;=0),0,ROUND(C43*Debts!$E$6/12,2))</f>
      </c>
      <c r="E44" s="48">
        <f>IF(Debts!$B$7="","",IF(E43&lt;=0,0,MAX(0,ROUND((E43+F44)-MIN((E43+F44),Debts!$F$7+IF(AND(Debts!$B$7&lt;&gt;"",E43&gt;0,Debts!$G$7=$Q44),$R44,0)),2))))</f>
      </c>
      <c r="F44" s="49">
        <f>IF(OR(Debts!$B$7="",E43&lt;=0),0,ROUND(E43*Debts!$E$7/12,2))</f>
      </c>
      <c r="G44" s="48">
        <f>IF(Debts!$B$8="","",IF(G43&lt;=0,0,MAX(0,ROUND((G43+H44)-MIN((G43+H44),Debts!$F$8+IF(AND(Debts!$B$8&lt;&gt;"",G43&gt;0,Debts!$G$8=$Q44),$R44,0)),2))))</f>
      </c>
      <c r="H44" s="49">
        <f>IF(OR(Debts!$B$8="",G43&lt;=0),0,ROUND(G43*Debts!$E$8/12,2))</f>
      </c>
      <c r="I44" s="48">
        <f>IF(Debts!$B$9="","",IF(I43&lt;=0,0,MAX(0,ROUND((I43+J44)-MIN((I43+J44),Debts!$F$9+IF(AND(Debts!$B$9&lt;&gt;"",I43&gt;0,Debts!$G$9=$Q44),$R44,0)),2))))</f>
      </c>
      <c r="J44" s="49">
        <f>IF(OR(Debts!$B$9="",I43&lt;=0),0,ROUND(I43*Debts!$E$9/12,2))</f>
      </c>
      <c r="K44" s="48">
        <f>IF(Debts!$B$10="","",IF(K43&lt;=0,0,MAX(0,ROUND((K43+L44)-MIN((K43+L44),Debts!$F$10+IF(AND(Debts!$B$10&lt;&gt;"",K43&gt;0,Debts!$G$10=$Q44),$R44,0)),2))))</f>
      </c>
      <c r="L44" s="49">
        <f>IF(OR(Debts!$B$10="",K43&lt;=0),0,ROUND(K43*Debts!$E$10/12,2))</f>
      </c>
      <c r="M44" s="48">
        <f>IF(Debts!$B$11="","",IF(M43&lt;=0,0,MAX(0,ROUND((M43+N44)-MIN((M43+N44),Debts!$F$11+IF(AND(Debts!$B$11&lt;&gt;"",M43&gt;0,Debts!$G$11=$Q44),$R44,0)),2))))</f>
      </c>
      <c r="N44" s="49">
        <f>IF(OR(Debts!$B$11="",M43&lt;=0),0,ROUND(M43*Debts!$E$11/12,2))</f>
      </c>
      <c r="O44" s="48">
        <f>SUM(C44,E44,G44,I44,K44,M44)</f>
      </c>
      <c r="P44" s="48">
        <f>P43+SUM(D44,F44,H44,J44,L44,N44)</f>
      </c>
      <c r="Q44">
        <f>MIN(IF(AND(Debts!$B$6&lt;&gt;"",C43&gt;0),Debts!$G$6,999),IF(AND(Debts!$B$7&lt;&gt;"",E43&gt;0),Debts!$G$7,999),IF(AND(Debts!$B$8&lt;&gt;"",G43&gt;0),Debts!$G$8,999),IF(AND(Debts!$B$9&lt;&gt;"",I43&gt;0),Debts!$G$9,999),IF(AND(Debts!$B$10&lt;&gt;"",K43&gt;0),Debts!$G$10,999),IF(AND(Debts!$B$11&lt;&gt;"",M43&gt;0),Debts!$G$11,999))</f>
      </c>
      <c r="R44">
        <f>Setup!$C$8+IF(AND(Debts!$B$6&lt;&gt;"",C43&lt;=0),Debts!$F$6,0)+IF(AND(Debts!$B$7&lt;&gt;"",E43&lt;=0),Debts!$F$7,0)+IF(AND(Debts!$B$8&lt;&gt;"",G43&lt;=0),Debts!$F$8,0)+IF(AND(Debts!$B$9&lt;&gt;"",I43&lt;=0),Debts!$F$9,0)+IF(AND(Debts!$B$10&lt;&gt;"",K43&lt;=0),Debts!$F$10,0)+IF(AND(Debts!$B$11&lt;&gt;"",M43&lt;=0),Debts!$F$11,0)</f>
      </c>
    </row>
    <row r="45" spans="1:18" x14ac:dyDescent="0.25">
      <c r="A45">
        <v>4</v>
      </c>
      <c r="B45" s="47">
        <f>EDATE(Setup!$C$9,3)</f>
      </c>
      <c r="C45" s="48">
        <f>IF(Debts!$B$6="","",IF(C44&lt;=0,0,MAX(0,ROUND((C44+D45)-MIN((C44+D45),Debts!$F$6+IF(AND(Debts!$B$6&lt;&gt;"",C44&gt;0,Debts!$G$6=$Q45),$R45,0)),2))))</f>
      </c>
      <c r="D45" s="49">
        <f>IF(OR(Debts!$B$6="",C44&lt;=0),0,ROUND(C44*Debts!$E$6/12,2))</f>
      </c>
      <c r="E45" s="48">
        <f>IF(Debts!$B$7="","",IF(E44&lt;=0,0,MAX(0,ROUND((E44+F45)-MIN((E44+F45),Debts!$F$7+IF(AND(Debts!$B$7&lt;&gt;"",E44&gt;0,Debts!$G$7=$Q45),$R45,0)),2))))</f>
      </c>
      <c r="F45" s="49">
        <f>IF(OR(Debts!$B$7="",E44&lt;=0),0,ROUND(E44*Debts!$E$7/12,2))</f>
      </c>
      <c r="G45" s="48">
        <f>IF(Debts!$B$8="","",IF(G44&lt;=0,0,MAX(0,ROUND((G44+H45)-MIN((G44+H45),Debts!$F$8+IF(AND(Debts!$B$8&lt;&gt;"",G44&gt;0,Debts!$G$8=$Q45),$R45,0)),2))))</f>
      </c>
      <c r="H45" s="49">
        <f>IF(OR(Debts!$B$8="",G44&lt;=0),0,ROUND(G44*Debts!$E$8/12,2))</f>
      </c>
      <c r="I45" s="48">
        <f>IF(Debts!$B$9="","",IF(I44&lt;=0,0,MAX(0,ROUND((I44+J45)-MIN((I44+J45),Debts!$F$9+IF(AND(Debts!$B$9&lt;&gt;"",I44&gt;0,Debts!$G$9=$Q45),$R45,0)),2))))</f>
      </c>
      <c r="J45" s="49">
        <f>IF(OR(Debts!$B$9="",I44&lt;=0),0,ROUND(I44*Debts!$E$9/12,2))</f>
      </c>
      <c r="K45" s="48">
        <f>IF(Debts!$B$10="","",IF(K44&lt;=0,0,MAX(0,ROUND((K44+L45)-MIN((K44+L45),Debts!$F$10+IF(AND(Debts!$B$10&lt;&gt;"",K44&gt;0,Debts!$G$10=$Q45),$R45,0)),2))))</f>
      </c>
      <c r="L45" s="49">
        <f>IF(OR(Debts!$B$10="",K44&lt;=0),0,ROUND(K44*Debts!$E$10/12,2))</f>
      </c>
      <c r="M45" s="48">
        <f>IF(Debts!$B$11="","",IF(M44&lt;=0,0,MAX(0,ROUND((M44+N45)-MIN((M44+N45),Debts!$F$11+IF(AND(Debts!$B$11&lt;&gt;"",M44&gt;0,Debts!$G$11=$Q45),$R45,0)),2))))</f>
      </c>
      <c r="N45" s="49">
        <f>IF(OR(Debts!$B$11="",M44&lt;=0),0,ROUND(M44*Debts!$E$11/12,2))</f>
      </c>
      <c r="O45" s="48">
        <f>SUM(C45,E45,G45,I45,K45,M45)</f>
      </c>
      <c r="P45" s="48">
        <f>P44+SUM(D45,F45,H45,J45,L45,N45)</f>
      </c>
      <c r="Q45">
        <f>MIN(IF(AND(Debts!$B$6&lt;&gt;"",C44&gt;0),Debts!$G$6,999),IF(AND(Debts!$B$7&lt;&gt;"",E44&gt;0),Debts!$G$7,999),IF(AND(Debts!$B$8&lt;&gt;"",G44&gt;0),Debts!$G$8,999),IF(AND(Debts!$B$9&lt;&gt;"",I44&gt;0),Debts!$G$9,999),IF(AND(Debts!$B$10&lt;&gt;"",K44&gt;0),Debts!$G$10,999),IF(AND(Debts!$B$11&lt;&gt;"",M44&gt;0),Debts!$G$11,999))</f>
      </c>
      <c r="R45">
        <f>Setup!$C$8+IF(AND(Debts!$B$6&lt;&gt;"",C44&lt;=0),Debts!$F$6,0)+IF(AND(Debts!$B$7&lt;&gt;"",E44&lt;=0),Debts!$F$7,0)+IF(AND(Debts!$B$8&lt;&gt;"",G44&lt;=0),Debts!$F$8,0)+IF(AND(Debts!$B$9&lt;&gt;"",I44&lt;=0),Debts!$F$9,0)+IF(AND(Debts!$B$10&lt;&gt;"",K44&lt;=0),Debts!$F$10,0)+IF(AND(Debts!$B$11&lt;&gt;"",M44&lt;=0),Debts!$F$11,0)</f>
      </c>
    </row>
    <row r="46" spans="1:18" x14ac:dyDescent="0.25">
      <c r="A46">
        <v>5</v>
      </c>
      <c r="B46" s="47">
        <f>EDATE(Setup!$C$9,4)</f>
      </c>
      <c r="C46" s="48">
        <f>IF(Debts!$B$6="","",IF(C45&lt;=0,0,MAX(0,ROUND((C45+D46)-MIN((C45+D46),Debts!$F$6+IF(AND(Debts!$B$6&lt;&gt;"",C45&gt;0,Debts!$G$6=$Q46),$R46,0)),2))))</f>
      </c>
      <c r="D46" s="49">
        <f>IF(OR(Debts!$B$6="",C45&lt;=0),0,ROUND(C45*Debts!$E$6/12,2))</f>
      </c>
      <c r="E46" s="48">
        <f>IF(Debts!$B$7="","",IF(E45&lt;=0,0,MAX(0,ROUND((E45+F46)-MIN((E45+F46),Debts!$F$7+IF(AND(Debts!$B$7&lt;&gt;"",E45&gt;0,Debts!$G$7=$Q46),$R46,0)),2))))</f>
      </c>
      <c r="F46" s="49">
        <f>IF(OR(Debts!$B$7="",E45&lt;=0),0,ROUND(E45*Debts!$E$7/12,2))</f>
      </c>
      <c r="G46" s="48">
        <f>IF(Debts!$B$8="","",IF(G45&lt;=0,0,MAX(0,ROUND((G45+H46)-MIN((G45+H46),Debts!$F$8+IF(AND(Debts!$B$8&lt;&gt;"",G45&gt;0,Debts!$G$8=$Q46),$R46,0)),2))))</f>
      </c>
      <c r="H46" s="49">
        <f>IF(OR(Debts!$B$8="",G45&lt;=0),0,ROUND(G45*Debts!$E$8/12,2))</f>
      </c>
      <c r="I46" s="48">
        <f>IF(Debts!$B$9="","",IF(I45&lt;=0,0,MAX(0,ROUND((I45+J46)-MIN((I45+J46),Debts!$F$9+IF(AND(Debts!$B$9&lt;&gt;"",I45&gt;0,Debts!$G$9=$Q46),$R46,0)),2))))</f>
      </c>
      <c r="J46" s="49">
        <f>IF(OR(Debts!$B$9="",I45&lt;=0),0,ROUND(I45*Debts!$E$9/12,2))</f>
      </c>
      <c r="K46" s="48">
        <f>IF(Debts!$B$10="","",IF(K45&lt;=0,0,MAX(0,ROUND((K45+L46)-MIN((K45+L46),Debts!$F$10+IF(AND(Debts!$B$10&lt;&gt;"",K45&gt;0,Debts!$G$10=$Q46),$R46,0)),2))))</f>
      </c>
      <c r="L46" s="49">
        <f>IF(OR(Debts!$B$10="",K45&lt;=0),0,ROUND(K45*Debts!$E$10/12,2))</f>
      </c>
      <c r="M46" s="48">
        <f>IF(Debts!$B$11="","",IF(M45&lt;=0,0,MAX(0,ROUND((M45+N46)-MIN((M45+N46),Debts!$F$11+IF(AND(Debts!$B$11&lt;&gt;"",M45&gt;0,Debts!$G$11=$Q46),$R46,0)),2))))</f>
      </c>
      <c r="N46" s="49">
        <f>IF(OR(Debts!$B$11="",M45&lt;=0),0,ROUND(M45*Debts!$E$11/12,2))</f>
      </c>
      <c r="O46" s="48">
        <f>SUM(C46,E46,G46,I46,K46,M46)</f>
      </c>
      <c r="P46" s="48">
        <f>P45+SUM(D46,F46,H46,J46,L46,N46)</f>
      </c>
      <c r="Q46">
        <f>MIN(IF(AND(Debts!$B$6&lt;&gt;"",C45&gt;0),Debts!$G$6,999),IF(AND(Debts!$B$7&lt;&gt;"",E45&gt;0),Debts!$G$7,999),IF(AND(Debts!$B$8&lt;&gt;"",G45&gt;0),Debts!$G$8,999),IF(AND(Debts!$B$9&lt;&gt;"",I45&gt;0),Debts!$G$9,999),IF(AND(Debts!$B$10&lt;&gt;"",K45&gt;0),Debts!$G$10,999),IF(AND(Debts!$B$11&lt;&gt;"",M45&gt;0),Debts!$G$11,999))</f>
      </c>
      <c r="R46">
        <f>Setup!$C$8+IF(AND(Debts!$B$6&lt;&gt;"",C45&lt;=0),Debts!$F$6,0)+IF(AND(Debts!$B$7&lt;&gt;"",E45&lt;=0),Debts!$F$7,0)+IF(AND(Debts!$B$8&lt;&gt;"",G45&lt;=0),Debts!$F$8,0)+IF(AND(Debts!$B$9&lt;&gt;"",I45&lt;=0),Debts!$F$9,0)+IF(AND(Debts!$B$10&lt;&gt;"",K45&lt;=0),Debts!$F$10,0)+IF(AND(Debts!$B$11&lt;&gt;"",M45&lt;=0),Debts!$F$11,0)</f>
      </c>
    </row>
    <row r="47" spans="1:18" x14ac:dyDescent="0.25">
      <c r="A47">
        <v>6</v>
      </c>
      <c r="B47" s="47">
        <f>EDATE(Setup!$C$9,5)</f>
      </c>
      <c r="C47" s="48">
        <f>IF(Debts!$B$6="","",IF(C46&lt;=0,0,MAX(0,ROUND((C46+D47)-MIN((C46+D47),Debts!$F$6+IF(AND(Debts!$B$6&lt;&gt;"",C46&gt;0,Debts!$G$6=$Q47),$R47,0)),2))))</f>
      </c>
      <c r="D47" s="49">
        <f>IF(OR(Debts!$B$6="",C46&lt;=0),0,ROUND(C46*Debts!$E$6/12,2))</f>
      </c>
      <c r="E47" s="48">
        <f>IF(Debts!$B$7="","",IF(E46&lt;=0,0,MAX(0,ROUND((E46+F47)-MIN((E46+F47),Debts!$F$7+IF(AND(Debts!$B$7&lt;&gt;"",E46&gt;0,Debts!$G$7=$Q47),$R47,0)),2))))</f>
      </c>
      <c r="F47" s="49">
        <f>IF(OR(Debts!$B$7="",E46&lt;=0),0,ROUND(E46*Debts!$E$7/12,2))</f>
      </c>
      <c r="G47" s="48">
        <f>IF(Debts!$B$8="","",IF(G46&lt;=0,0,MAX(0,ROUND((G46+H47)-MIN((G46+H47),Debts!$F$8+IF(AND(Debts!$B$8&lt;&gt;"",G46&gt;0,Debts!$G$8=$Q47),$R47,0)),2))))</f>
      </c>
      <c r="H47" s="49">
        <f>IF(OR(Debts!$B$8="",G46&lt;=0),0,ROUND(G46*Debts!$E$8/12,2))</f>
      </c>
      <c r="I47" s="48">
        <f>IF(Debts!$B$9="","",IF(I46&lt;=0,0,MAX(0,ROUND((I46+J47)-MIN((I46+J47),Debts!$F$9+IF(AND(Debts!$B$9&lt;&gt;"",I46&gt;0,Debts!$G$9=$Q47),$R47,0)),2))))</f>
      </c>
      <c r="J47" s="49">
        <f>IF(OR(Debts!$B$9="",I46&lt;=0),0,ROUND(I46*Debts!$E$9/12,2))</f>
      </c>
      <c r="K47" s="48">
        <f>IF(Debts!$B$10="","",IF(K46&lt;=0,0,MAX(0,ROUND((K46+L47)-MIN((K46+L47),Debts!$F$10+IF(AND(Debts!$B$10&lt;&gt;"",K46&gt;0,Debts!$G$10=$Q47),$R47,0)),2))))</f>
      </c>
      <c r="L47" s="49">
        <f>IF(OR(Debts!$B$10="",K46&lt;=0),0,ROUND(K46*Debts!$E$10/12,2))</f>
      </c>
      <c r="M47" s="48">
        <f>IF(Debts!$B$11="","",IF(M46&lt;=0,0,MAX(0,ROUND((M46+N47)-MIN((M46+N47),Debts!$F$11+IF(AND(Debts!$B$11&lt;&gt;"",M46&gt;0,Debts!$G$11=$Q47),$R47,0)),2))))</f>
      </c>
      <c r="N47" s="49">
        <f>IF(OR(Debts!$B$11="",M46&lt;=0),0,ROUND(M46*Debts!$E$11/12,2))</f>
      </c>
      <c r="O47" s="48">
        <f>SUM(C47,E47,G47,I47,K47,M47)</f>
      </c>
      <c r="P47" s="48">
        <f>P46+SUM(D47,F47,H47,J47,L47,N47)</f>
      </c>
      <c r="Q47">
        <f>MIN(IF(AND(Debts!$B$6&lt;&gt;"",C46&gt;0),Debts!$G$6,999),IF(AND(Debts!$B$7&lt;&gt;"",E46&gt;0),Debts!$G$7,999),IF(AND(Debts!$B$8&lt;&gt;"",G46&gt;0),Debts!$G$8,999),IF(AND(Debts!$B$9&lt;&gt;"",I46&gt;0),Debts!$G$9,999),IF(AND(Debts!$B$10&lt;&gt;"",K46&gt;0),Debts!$G$10,999),IF(AND(Debts!$B$11&lt;&gt;"",M46&gt;0),Debts!$G$11,999))</f>
      </c>
      <c r="R47">
        <f>Setup!$C$8+IF(AND(Debts!$B$6&lt;&gt;"",C46&lt;=0),Debts!$F$6,0)+IF(AND(Debts!$B$7&lt;&gt;"",E46&lt;=0),Debts!$F$7,0)+IF(AND(Debts!$B$8&lt;&gt;"",G46&lt;=0),Debts!$F$8,0)+IF(AND(Debts!$B$9&lt;&gt;"",I46&lt;=0),Debts!$F$9,0)+IF(AND(Debts!$B$10&lt;&gt;"",K46&lt;=0),Debts!$F$10,0)+IF(AND(Debts!$B$11&lt;&gt;"",M46&lt;=0),Debts!$F$11,0)</f>
      </c>
    </row>
    <row r="48" spans="1:18" x14ac:dyDescent="0.25">
      <c r="A48">
        <v>7</v>
      </c>
      <c r="B48" s="47">
        <f>EDATE(Setup!$C$9,6)</f>
      </c>
      <c r="C48" s="48">
        <f>IF(Debts!$B$6="","",IF(C47&lt;=0,0,MAX(0,ROUND((C47+D48)-MIN((C47+D48),Debts!$F$6+IF(AND(Debts!$B$6&lt;&gt;"",C47&gt;0,Debts!$G$6=$Q48),$R48,0)),2))))</f>
      </c>
      <c r="D48" s="49">
        <f>IF(OR(Debts!$B$6="",C47&lt;=0),0,ROUND(C47*Debts!$E$6/12,2))</f>
      </c>
      <c r="E48" s="48">
        <f>IF(Debts!$B$7="","",IF(E47&lt;=0,0,MAX(0,ROUND((E47+F48)-MIN((E47+F48),Debts!$F$7+IF(AND(Debts!$B$7&lt;&gt;"",E47&gt;0,Debts!$G$7=$Q48),$R48,0)),2))))</f>
      </c>
      <c r="F48" s="49">
        <f>IF(OR(Debts!$B$7="",E47&lt;=0),0,ROUND(E47*Debts!$E$7/12,2))</f>
      </c>
      <c r="G48" s="48">
        <f>IF(Debts!$B$8="","",IF(G47&lt;=0,0,MAX(0,ROUND((G47+H48)-MIN((G47+H48),Debts!$F$8+IF(AND(Debts!$B$8&lt;&gt;"",G47&gt;0,Debts!$G$8=$Q48),$R48,0)),2))))</f>
      </c>
      <c r="H48" s="49">
        <f>IF(OR(Debts!$B$8="",G47&lt;=0),0,ROUND(G47*Debts!$E$8/12,2))</f>
      </c>
      <c r="I48" s="48">
        <f>IF(Debts!$B$9="","",IF(I47&lt;=0,0,MAX(0,ROUND((I47+J48)-MIN((I47+J48),Debts!$F$9+IF(AND(Debts!$B$9&lt;&gt;"",I47&gt;0,Debts!$G$9=$Q48),$R48,0)),2))))</f>
      </c>
      <c r="J48" s="49">
        <f>IF(OR(Debts!$B$9="",I47&lt;=0),0,ROUND(I47*Debts!$E$9/12,2))</f>
      </c>
      <c r="K48" s="48">
        <f>IF(Debts!$B$10="","",IF(K47&lt;=0,0,MAX(0,ROUND((K47+L48)-MIN((K47+L48),Debts!$F$10+IF(AND(Debts!$B$10&lt;&gt;"",K47&gt;0,Debts!$G$10=$Q48),$R48,0)),2))))</f>
      </c>
      <c r="L48" s="49">
        <f>IF(OR(Debts!$B$10="",K47&lt;=0),0,ROUND(K47*Debts!$E$10/12,2))</f>
      </c>
      <c r="M48" s="48">
        <f>IF(Debts!$B$11="","",IF(M47&lt;=0,0,MAX(0,ROUND((M47+N48)-MIN((M47+N48),Debts!$F$11+IF(AND(Debts!$B$11&lt;&gt;"",M47&gt;0,Debts!$G$11=$Q48),$R48,0)),2))))</f>
      </c>
      <c r="N48" s="49">
        <f>IF(OR(Debts!$B$11="",M47&lt;=0),0,ROUND(M47*Debts!$E$11/12,2))</f>
      </c>
      <c r="O48" s="48">
        <f>SUM(C48,E48,G48,I48,K48,M48)</f>
      </c>
      <c r="P48" s="48">
        <f>P47+SUM(D48,F48,H48,J48,L48,N48)</f>
      </c>
      <c r="Q48">
        <f>MIN(IF(AND(Debts!$B$6&lt;&gt;"",C47&gt;0),Debts!$G$6,999),IF(AND(Debts!$B$7&lt;&gt;"",E47&gt;0),Debts!$G$7,999),IF(AND(Debts!$B$8&lt;&gt;"",G47&gt;0),Debts!$G$8,999),IF(AND(Debts!$B$9&lt;&gt;"",I47&gt;0),Debts!$G$9,999),IF(AND(Debts!$B$10&lt;&gt;"",K47&gt;0),Debts!$G$10,999),IF(AND(Debts!$B$11&lt;&gt;"",M47&gt;0),Debts!$G$11,999))</f>
      </c>
      <c r="R48">
        <f>Setup!$C$8+IF(AND(Debts!$B$6&lt;&gt;"",C47&lt;=0),Debts!$F$6,0)+IF(AND(Debts!$B$7&lt;&gt;"",E47&lt;=0),Debts!$F$7,0)+IF(AND(Debts!$B$8&lt;&gt;"",G47&lt;=0),Debts!$F$8,0)+IF(AND(Debts!$B$9&lt;&gt;"",I47&lt;=0),Debts!$F$9,0)+IF(AND(Debts!$B$10&lt;&gt;"",K47&lt;=0),Debts!$F$10,0)+IF(AND(Debts!$B$11&lt;&gt;"",M47&lt;=0),Debts!$F$11,0)</f>
      </c>
    </row>
    <row r="49" spans="1:18" x14ac:dyDescent="0.25">
      <c r="A49">
        <v>8</v>
      </c>
      <c r="B49" s="47">
        <f>EDATE(Setup!$C$9,7)</f>
      </c>
      <c r="C49" s="48">
        <f>IF(Debts!$B$6="","",IF(C48&lt;=0,0,MAX(0,ROUND((C48+D49)-MIN((C48+D49),Debts!$F$6+IF(AND(Debts!$B$6&lt;&gt;"",C48&gt;0,Debts!$G$6=$Q49),$R49,0)),2))))</f>
      </c>
      <c r="D49" s="49">
        <f>IF(OR(Debts!$B$6="",C48&lt;=0),0,ROUND(C48*Debts!$E$6/12,2))</f>
      </c>
      <c r="E49" s="48">
        <f>IF(Debts!$B$7="","",IF(E48&lt;=0,0,MAX(0,ROUND((E48+F49)-MIN((E48+F49),Debts!$F$7+IF(AND(Debts!$B$7&lt;&gt;"",E48&gt;0,Debts!$G$7=$Q49),$R49,0)),2))))</f>
      </c>
      <c r="F49" s="49">
        <f>IF(OR(Debts!$B$7="",E48&lt;=0),0,ROUND(E48*Debts!$E$7/12,2))</f>
      </c>
      <c r="G49" s="48">
        <f>IF(Debts!$B$8="","",IF(G48&lt;=0,0,MAX(0,ROUND((G48+H49)-MIN((G48+H49),Debts!$F$8+IF(AND(Debts!$B$8&lt;&gt;"",G48&gt;0,Debts!$G$8=$Q49),$R49,0)),2))))</f>
      </c>
      <c r="H49" s="49">
        <f>IF(OR(Debts!$B$8="",G48&lt;=0),0,ROUND(G48*Debts!$E$8/12,2))</f>
      </c>
      <c r="I49" s="48">
        <f>IF(Debts!$B$9="","",IF(I48&lt;=0,0,MAX(0,ROUND((I48+J49)-MIN((I48+J49),Debts!$F$9+IF(AND(Debts!$B$9&lt;&gt;"",I48&gt;0,Debts!$G$9=$Q49),$R49,0)),2))))</f>
      </c>
      <c r="J49" s="49">
        <f>IF(OR(Debts!$B$9="",I48&lt;=0),0,ROUND(I48*Debts!$E$9/12,2))</f>
      </c>
      <c r="K49" s="48">
        <f>IF(Debts!$B$10="","",IF(K48&lt;=0,0,MAX(0,ROUND((K48+L49)-MIN((K48+L49),Debts!$F$10+IF(AND(Debts!$B$10&lt;&gt;"",K48&gt;0,Debts!$G$10=$Q49),$R49,0)),2))))</f>
      </c>
      <c r="L49" s="49">
        <f>IF(OR(Debts!$B$10="",K48&lt;=0),0,ROUND(K48*Debts!$E$10/12,2))</f>
      </c>
      <c r="M49" s="48">
        <f>IF(Debts!$B$11="","",IF(M48&lt;=0,0,MAX(0,ROUND((M48+N49)-MIN((M48+N49),Debts!$F$11+IF(AND(Debts!$B$11&lt;&gt;"",M48&gt;0,Debts!$G$11=$Q49),$R49,0)),2))))</f>
      </c>
      <c r="N49" s="49">
        <f>IF(OR(Debts!$B$11="",M48&lt;=0),0,ROUND(M48*Debts!$E$11/12,2))</f>
      </c>
      <c r="O49" s="48">
        <f>SUM(C49,E49,G49,I49,K49,M49)</f>
      </c>
      <c r="P49" s="48">
        <f>P48+SUM(D49,F49,H49,J49,L49,N49)</f>
      </c>
      <c r="Q49">
        <f>MIN(IF(AND(Debts!$B$6&lt;&gt;"",C48&gt;0),Debts!$G$6,999),IF(AND(Debts!$B$7&lt;&gt;"",E48&gt;0),Debts!$G$7,999),IF(AND(Debts!$B$8&lt;&gt;"",G48&gt;0),Debts!$G$8,999),IF(AND(Debts!$B$9&lt;&gt;"",I48&gt;0),Debts!$G$9,999),IF(AND(Debts!$B$10&lt;&gt;"",K48&gt;0),Debts!$G$10,999),IF(AND(Debts!$B$11&lt;&gt;"",M48&gt;0),Debts!$G$11,999))</f>
      </c>
      <c r="R49">
        <f>Setup!$C$8+IF(AND(Debts!$B$6&lt;&gt;"",C48&lt;=0),Debts!$F$6,0)+IF(AND(Debts!$B$7&lt;&gt;"",E48&lt;=0),Debts!$F$7,0)+IF(AND(Debts!$B$8&lt;&gt;"",G48&lt;=0),Debts!$F$8,0)+IF(AND(Debts!$B$9&lt;&gt;"",I48&lt;=0),Debts!$F$9,0)+IF(AND(Debts!$B$10&lt;&gt;"",K48&lt;=0),Debts!$F$10,0)+IF(AND(Debts!$B$11&lt;&gt;"",M48&lt;=0),Debts!$F$11,0)</f>
      </c>
    </row>
    <row r="50" spans="1:18" x14ac:dyDescent="0.25">
      <c r="A50">
        <v>9</v>
      </c>
      <c r="B50" s="47">
        <f>EDATE(Setup!$C$9,8)</f>
      </c>
      <c r="C50" s="48">
        <f>IF(Debts!$B$6="","",IF(C49&lt;=0,0,MAX(0,ROUND((C49+D50)-MIN((C49+D50),Debts!$F$6+IF(AND(Debts!$B$6&lt;&gt;"",C49&gt;0,Debts!$G$6=$Q50),$R50,0)),2))))</f>
      </c>
      <c r="D50" s="49">
        <f>IF(OR(Debts!$B$6="",C49&lt;=0),0,ROUND(C49*Debts!$E$6/12,2))</f>
      </c>
      <c r="E50" s="48">
        <f>IF(Debts!$B$7="","",IF(E49&lt;=0,0,MAX(0,ROUND((E49+F50)-MIN((E49+F50),Debts!$F$7+IF(AND(Debts!$B$7&lt;&gt;"",E49&gt;0,Debts!$G$7=$Q50),$R50,0)),2))))</f>
      </c>
      <c r="F50" s="49">
        <f>IF(OR(Debts!$B$7="",E49&lt;=0),0,ROUND(E49*Debts!$E$7/12,2))</f>
      </c>
      <c r="G50" s="48">
        <f>IF(Debts!$B$8="","",IF(G49&lt;=0,0,MAX(0,ROUND((G49+H50)-MIN((G49+H50),Debts!$F$8+IF(AND(Debts!$B$8&lt;&gt;"",G49&gt;0,Debts!$G$8=$Q50),$R50,0)),2))))</f>
      </c>
      <c r="H50" s="49">
        <f>IF(OR(Debts!$B$8="",G49&lt;=0),0,ROUND(G49*Debts!$E$8/12,2))</f>
      </c>
      <c r="I50" s="48">
        <f>IF(Debts!$B$9="","",IF(I49&lt;=0,0,MAX(0,ROUND((I49+J50)-MIN((I49+J50),Debts!$F$9+IF(AND(Debts!$B$9&lt;&gt;"",I49&gt;0,Debts!$G$9=$Q50),$R50,0)),2))))</f>
      </c>
      <c r="J50" s="49">
        <f>IF(OR(Debts!$B$9="",I49&lt;=0),0,ROUND(I49*Debts!$E$9/12,2))</f>
      </c>
      <c r="K50" s="48">
        <f>IF(Debts!$B$10="","",IF(K49&lt;=0,0,MAX(0,ROUND((K49+L50)-MIN((K49+L50),Debts!$F$10+IF(AND(Debts!$B$10&lt;&gt;"",K49&gt;0,Debts!$G$10=$Q50),$R50,0)),2))))</f>
      </c>
      <c r="L50" s="49">
        <f>IF(OR(Debts!$B$10="",K49&lt;=0),0,ROUND(K49*Debts!$E$10/12,2))</f>
      </c>
      <c r="M50" s="48">
        <f>IF(Debts!$B$11="","",IF(M49&lt;=0,0,MAX(0,ROUND((M49+N50)-MIN((M49+N50),Debts!$F$11+IF(AND(Debts!$B$11&lt;&gt;"",M49&gt;0,Debts!$G$11=$Q50),$R50,0)),2))))</f>
      </c>
      <c r="N50" s="49">
        <f>IF(OR(Debts!$B$11="",M49&lt;=0),0,ROUND(M49*Debts!$E$11/12,2))</f>
      </c>
      <c r="O50" s="48">
        <f>SUM(C50,E50,G50,I50,K50,M50)</f>
      </c>
      <c r="P50" s="48">
        <f>P49+SUM(D50,F50,H50,J50,L50,N50)</f>
      </c>
      <c r="Q50">
        <f>MIN(IF(AND(Debts!$B$6&lt;&gt;"",C49&gt;0),Debts!$G$6,999),IF(AND(Debts!$B$7&lt;&gt;"",E49&gt;0),Debts!$G$7,999),IF(AND(Debts!$B$8&lt;&gt;"",G49&gt;0),Debts!$G$8,999),IF(AND(Debts!$B$9&lt;&gt;"",I49&gt;0),Debts!$G$9,999),IF(AND(Debts!$B$10&lt;&gt;"",K49&gt;0),Debts!$G$10,999),IF(AND(Debts!$B$11&lt;&gt;"",M49&gt;0),Debts!$G$11,999))</f>
      </c>
      <c r="R50">
        <f>Setup!$C$8+IF(AND(Debts!$B$6&lt;&gt;"",C49&lt;=0),Debts!$F$6,0)+IF(AND(Debts!$B$7&lt;&gt;"",E49&lt;=0),Debts!$F$7,0)+IF(AND(Debts!$B$8&lt;&gt;"",G49&lt;=0),Debts!$F$8,0)+IF(AND(Debts!$B$9&lt;&gt;"",I49&lt;=0),Debts!$F$9,0)+IF(AND(Debts!$B$10&lt;&gt;"",K49&lt;=0),Debts!$F$10,0)+IF(AND(Debts!$B$11&lt;&gt;"",M49&lt;=0),Debts!$F$11,0)</f>
      </c>
    </row>
    <row r="51" spans="1:18" x14ac:dyDescent="0.25">
      <c r="A51">
        <v>10</v>
      </c>
      <c r="B51" s="47">
        <f>EDATE(Setup!$C$9,9)</f>
      </c>
      <c r="C51" s="48">
        <f>IF(Debts!$B$6="","",IF(C50&lt;=0,0,MAX(0,ROUND((C50+D51)-MIN((C50+D51),Debts!$F$6+IF(AND(Debts!$B$6&lt;&gt;"",C50&gt;0,Debts!$G$6=$Q51),$R51,0)),2))))</f>
      </c>
      <c r="D51" s="49">
        <f>IF(OR(Debts!$B$6="",C50&lt;=0),0,ROUND(C50*Debts!$E$6/12,2))</f>
      </c>
      <c r="E51" s="48">
        <f>IF(Debts!$B$7="","",IF(E50&lt;=0,0,MAX(0,ROUND((E50+F51)-MIN((E50+F51),Debts!$F$7+IF(AND(Debts!$B$7&lt;&gt;"",E50&gt;0,Debts!$G$7=$Q51),$R51,0)),2))))</f>
      </c>
      <c r="F51" s="49">
        <f>IF(OR(Debts!$B$7="",E50&lt;=0),0,ROUND(E50*Debts!$E$7/12,2))</f>
      </c>
      <c r="G51" s="48">
        <f>IF(Debts!$B$8="","",IF(G50&lt;=0,0,MAX(0,ROUND((G50+H51)-MIN((G50+H51),Debts!$F$8+IF(AND(Debts!$B$8&lt;&gt;"",G50&gt;0,Debts!$G$8=$Q51),$R51,0)),2))))</f>
      </c>
      <c r="H51" s="49">
        <f>IF(OR(Debts!$B$8="",G50&lt;=0),0,ROUND(G50*Debts!$E$8/12,2))</f>
      </c>
      <c r="I51" s="48">
        <f>IF(Debts!$B$9="","",IF(I50&lt;=0,0,MAX(0,ROUND((I50+J51)-MIN((I50+J51),Debts!$F$9+IF(AND(Debts!$B$9&lt;&gt;"",I50&gt;0,Debts!$G$9=$Q51),$R51,0)),2))))</f>
      </c>
      <c r="J51" s="49">
        <f>IF(OR(Debts!$B$9="",I50&lt;=0),0,ROUND(I50*Debts!$E$9/12,2))</f>
      </c>
      <c r="K51" s="48">
        <f>IF(Debts!$B$10="","",IF(K50&lt;=0,0,MAX(0,ROUND((K50+L51)-MIN((K50+L51),Debts!$F$10+IF(AND(Debts!$B$10&lt;&gt;"",K50&gt;0,Debts!$G$10=$Q51),$R51,0)),2))))</f>
      </c>
      <c r="L51" s="49">
        <f>IF(OR(Debts!$B$10="",K50&lt;=0),0,ROUND(K50*Debts!$E$10/12,2))</f>
      </c>
      <c r="M51" s="48">
        <f>IF(Debts!$B$11="","",IF(M50&lt;=0,0,MAX(0,ROUND((M50+N51)-MIN((M50+N51),Debts!$F$11+IF(AND(Debts!$B$11&lt;&gt;"",M50&gt;0,Debts!$G$11=$Q51),$R51,0)),2))))</f>
      </c>
      <c r="N51" s="49">
        <f>IF(OR(Debts!$B$11="",M50&lt;=0),0,ROUND(M50*Debts!$E$11/12,2))</f>
      </c>
      <c r="O51" s="48">
        <f>SUM(C51,E51,G51,I51,K51,M51)</f>
      </c>
      <c r="P51" s="48">
        <f>P50+SUM(D51,F51,H51,J51,L51,N51)</f>
      </c>
      <c r="Q51">
        <f>MIN(IF(AND(Debts!$B$6&lt;&gt;"",C50&gt;0),Debts!$G$6,999),IF(AND(Debts!$B$7&lt;&gt;"",E50&gt;0),Debts!$G$7,999),IF(AND(Debts!$B$8&lt;&gt;"",G50&gt;0),Debts!$G$8,999),IF(AND(Debts!$B$9&lt;&gt;"",I50&gt;0),Debts!$G$9,999),IF(AND(Debts!$B$10&lt;&gt;"",K50&gt;0),Debts!$G$10,999),IF(AND(Debts!$B$11&lt;&gt;"",M50&gt;0),Debts!$G$11,999))</f>
      </c>
      <c r="R51">
        <f>Setup!$C$8+IF(AND(Debts!$B$6&lt;&gt;"",C50&lt;=0),Debts!$F$6,0)+IF(AND(Debts!$B$7&lt;&gt;"",E50&lt;=0),Debts!$F$7,0)+IF(AND(Debts!$B$8&lt;&gt;"",G50&lt;=0),Debts!$F$8,0)+IF(AND(Debts!$B$9&lt;&gt;"",I50&lt;=0),Debts!$F$9,0)+IF(AND(Debts!$B$10&lt;&gt;"",K50&lt;=0),Debts!$F$10,0)+IF(AND(Debts!$B$11&lt;&gt;"",M50&lt;=0),Debts!$F$11,0)</f>
      </c>
    </row>
    <row r="52" spans="1:18" x14ac:dyDescent="0.25">
      <c r="A52">
        <v>11</v>
      </c>
      <c r="B52" s="47">
        <f>EDATE(Setup!$C$9,10)</f>
      </c>
      <c r="C52" s="48">
        <f>IF(Debts!$B$6="","",IF(C51&lt;=0,0,MAX(0,ROUND((C51+D52)-MIN((C51+D52),Debts!$F$6+IF(AND(Debts!$B$6&lt;&gt;"",C51&gt;0,Debts!$G$6=$Q52),$R52,0)),2))))</f>
      </c>
      <c r="D52" s="49">
        <f>IF(OR(Debts!$B$6="",C51&lt;=0),0,ROUND(C51*Debts!$E$6/12,2))</f>
      </c>
      <c r="E52" s="48">
        <f>IF(Debts!$B$7="","",IF(E51&lt;=0,0,MAX(0,ROUND((E51+F52)-MIN((E51+F52),Debts!$F$7+IF(AND(Debts!$B$7&lt;&gt;"",E51&gt;0,Debts!$G$7=$Q52),$R52,0)),2))))</f>
      </c>
      <c r="F52" s="49">
        <f>IF(OR(Debts!$B$7="",E51&lt;=0),0,ROUND(E51*Debts!$E$7/12,2))</f>
      </c>
      <c r="G52" s="48">
        <f>IF(Debts!$B$8="","",IF(G51&lt;=0,0,MAX(0,ROUND((G51+H52)-MIN((G51+H52),Debts!$F$8+IF(AND(Debts!$B$8&lt;&gt;"",G51&gt;0,Debts!$G$8=$Q52),$R52,0)),2))))</f>
      </c>
      <c r="H52" s="49">
        <f>IF(OR(Debts!$B$8="",G51&lt;=0),0,ROUND(G51*Debts!$E$8/12,2))</f>
      </c>
      <c r="I52" s="48">
        <f>IF(Debts!$B$9="","",IF(I51&lt;=0,0,MAX(0,ROUND((I51+J52)-MIN((I51+J52),Debts!$F$9+IF(AND(Debts!$B$9&lt;&gt;"",I51&gt;0,Debts!$G$9=$Q52),$R52,0)),2))))</f>
      </c>
      <c r="J52" s="49">
        <f>IF(OR(Debts!$B$9="",I51&lt;=0),0,ROUND(I51*Debts!$E$9/12,2))</f>
      </c>
      <c r="K52" s="48">
        <f>IF(Debts!$B$10="","",IF(K51&lt;=0,0,MAX(0,ROUND((K51+L52)-MIN((K51+L52),Debts!$F$10+IF(AND(Debts!$B$10&lt;&gt;"",K51&gt;0,Debts!$G$10=$Q52),$R52,0)),2))))</f>
      </c>
      <c r="L52" s="49">
        <f>IF(OR(Debts!$B$10="",K51&lt;=0),0,ROUND(K51*Debts!$E$10/12,2))</f>
      </c>
      <c r="M52" s="48">
        <f>IF(Debts!$B$11="","",IF(M51&lt;=0,0,MAX(0,ROUND((M51+N52)-MIN((M51+N52),Debts!$F$11+IF(AND(Debts!$B$11&lt;&gt;"",M51&gt;0,Debts!$G$11=$Q52),$R52,0)),2))))</f>
      </c>
      <c r="N52" s="49">
        <f>IF(OR(Debts!$B$11="",M51&lt;=0),0,ROUND(M51*Debts!$E$11/12,2))</f>
      </c>
      <c r="O52" s="48">
        <f>SUM(C52,E52,G52,I52,K52,M52)</f>
      </c>
      <c r="P52" s="48">
        <f>P51+SUM(D52,F52,H52,J52,L52,N52)</f>
      </c>
      <c r="Q52">
        <f>MIN(IF(AND(Debts!$B$6&lt;&gt;"",C51&gt;0),Debts!$G$6,999),IF(AND(Debts!$B$7&lt;&gt;"",E51&gt;0),Debts!$G$7,999),IF(AND(Debts!$B$8&lt;&gt;"",G51&gt;0),Debts!$G$8,999),IF(AND(Debts!$B$9&lt;&gt;"",I51&gt;0),Debts!$G$9,999),IF(AND(Debts!$B$10&lt;&gt;"",K51&gt;0),Debts!$G$10,999),IF(AND(Debts!$B$11&lt;&gt;"",M51&gt;0),Debts!$G$11,999))</f>
      </c>
      <c r="R52">
        <f>Setup!$C$8+IF(AND(Debts!$B$6&lt;&gt;"",C51&lt;=0),Debts!$F$6,0)+IF(AND(Debts!$B$7&lt;&gt;"",E51&lt;=0),Debts!$F$7,0)+IF(AND(Debts!$B$8&lt;&gt;"",G51&lt;=0),Debts!$F$8,0)+IF(AND(Debts!$B$9&lt;&gt;"",I51&lt;=0),Debts!$F$9,0)+IF(AND(Debts!$B$10&lt;&gt;"",K51&lt;=0),Debts!$F$10,0)+IF(AND(Debts!$B$11&lt;&gt;"",M51&lt;=0),Debts!$F$11,0)</f>
      </c>
    </row>
    <row r="53" spans="1:18" x14ac:dyDescent="0.25">
      <c r="A53">
        <v>12</v>
      </c>
      <c r="B53" s="47">
        <f>EDATE(Setup!$C$9,11)</f>
      </c>
      <c r="C53" s="48">
        <f>IF(Debts!$B$6="","",IF(C52&lt;=0,0,MAX(0,ROUND((C52+D53)-MIN((C52+D53),Debts!$F$6+IF(AND(Debts!$B$6&lt;&gt;"",C52&gt;0,Debts!$G$6=$Q53),$R53,0)),2))))</f>
      </c>
      <c r="D53" s="49">
        <f>IF(OR(Debts!$B$6="",C52&lt;=0),0,ROUND(C52*Debts!$E$6/12,2))</f>
      </c>
      <c r="E53" s="48">
        <f>IF(Debts!$B$7="","",IF(E52&lt;=0,0,MAX(0,ROUND((E52+F53)-MIN((E52+F53),Debts!$F$7+IF(AND(Debts!$B$7&lt;&gt;"",E52&gt;0,Debts!$G$7=$Q53),$R53,0)),2))))</f>
      </c>
      <c r="F53" s="49">
        <f>IF(OR(Debts!$B$7="",E52&lt;=0),0,ROUND(E52*Debts!$E$7/12,2))</f>
      </c>
      <c r="G53" s="48">
        <f>IF(Debts!$B$8="","",IF(G52&lt;=0,0,MAX(0,ROUND((G52+H53)-MIN((G52+H53),Debts!$F$8+IF(AND(Debts!$B$8&lt;&gt;"",G52&gt;0,Debts!$G$8=$Q53),$R53,0)),2))))</f>
      </c>
      <c r="H53" s="49">
        <f>IF(OR(Debts!$B$8="",G52&lt;=0),0,ROUND(G52*Debts!$E$8/12,2))</f>
      </c>
      <c r="I53" s="48">
        <f>IF(Debts!$B$9="","",IF(I52&lt;=0,0,MAX(0,ROUND((I52+J53)-MIN((I52+J53),Debts!$F$9+IF(AND(Debts!$B$9&lt;&gt;"",I52&gt;0,Debts!$G$9=$Q53),$R53,0)),2))))</f>
      </c>
      <c r="J53" s="49">
        <f>IF(OR(Debts!$B$9="",I52&lt;=0),0,ROUND(I52*Debts!$E$9/12,2))</f>
      </c>
      <c r="K53" s="48">
        <f>IF(Debts!$B$10="","",IF(K52&lt;=0,0,MAX(0,ROUND((K52+L53)-MIN((K52+L53),Debts!$F$10+IF(AND(Debts!$B$10&lt;&gt;"",K52&gt;0,Debts!$G$10=$Q53),$R53,0)),2))))</f>
      </c>
      <c r="L53" s="49">
        <f>IF(OR(Debts!$B$10="",K52&lt;=0),0,ROUND(K52*Debts!$E$10/12,2))</f>
      </c>
      <c r="M53" s="48">
        <f>IF(Debts!$B$11="","",IF(M52&lt;=0,0,MAX(0,ROUND((M52+N53)-MIN((M52+N53),Debts!$F$11+IF(AND(Debts!$B$11&lt;&gt;"",M52&gt;0,Debts!$G$11=$Q53),$R53,0)),2))))</f>
      </c>
      <c r="N53" s="49">
        <f>IF(OR(Debts!$B$11="",M52&lt;=0),0,ROUND(M52*Debts!$E$11/12,2))</f>
      </c>
      <c r="O53" s="48">
        <f>SUM(C53,E53,G53,I53,K53,M53)</f>
      </c>
      <c r="P53" s="48">
        <f>P52+SUM(D53,F53,H53,J53,L53,N53)</f>
      </c>
      <c r="Q53">
        <f>MIN(IF(AND(Debts!$B$6&lt;&gt;"",C52&gt;0),Debts!$G$6,999),IF(AND(Debts!$B$7&lt;&gt;"",E52&gt;0),Debts!$G$7,999),IF(AND(Debts!$B$8&lt;&gt;"",G52&gt;0),Debts!$G$8,999),IF(AND(Debts!$B$9&lt;&gt;"",I52&gt;0),Debts!$G$9,999),IF(AND(Debts!$B$10&lt;&gt;"",K52&gt;0),Debts!$G$10,999),IF(AND(Debts!$B$11&lt;&gt;"",M52&gt;0),Debts!$G$11,999))</f>
      </c>
      <c r="R53">
        <f>Setup!$C$8+IF(AND(Debts!$B$6&lt;&gt;"",C52&lt;=0),Debts!$F$6,0)+IF(AND(Debts!$B$7&lt;&gt;"",E52&lt;=0),Debts!$F$7,0)+IF(AND(Debts!$B$8&lt;&gt;"",G52&lt;=0),Debts!$F$8,0)+IF(AND(Debts!$B$9&lt;&gt;"",I52&lt;=0),Debts!$F$9,0)+IF(AND(Debts!$B$10&lt;&gt;"",K52&lt;=0),Debts!$F$10,0)+IF(AND(Debts!$B$11&lt;&gt;"",M52&lt;=0),Debts!$F$11,0)</f>
      </c>
    </row>
    <row r="54" spans="1:18" x14ac:dyDescent="0.25">
      <c r="A54">
        <v>13</v>
      </c>
      <c r="B54" s="47">
        <f>EDATE(Setup!$C$9,12)</f>
      </c>
      <c r="C54" s="48">
        <f>IF(Debts!$B$6="","",IF(C53&lt;=0,0,MAX(0,ROUND((C53+D54)-MIN((C53+D54),Debts!$F$6+IF(AND(Debts!$B$6&lt;&gt;"",C53&gt;0,Debts!$G$6=$Q54),$R54,0)),2))))</f>
      </c>
      <c r="D54" s="49">
        <f>IF(OR(Debts!$B$6="",C53&lt;=0),0,ROUND(C53*Debts!$E$6/12,2))</f>
      </c>
      <c r="E54" s="48">
        <f>IF(Debts!$B$7="","",IF(E53&lt;=0,0,MAX(0,ROUND((E53+F54)-MIN((E53+F54),Debts!$F$7+IF(AND(Debts!$B$7&lt;&gt;"",E53&gt;0,Debts!$G$7=$Q54),$R54,0)),2))))</f>
      </c>
      <c r="F54" s="49">
        <f>IF(OR(Debts!$B$7="",E53&lt;=0),0,ROUND(E53*Debts!$E$7/12,2))</f>
      </c>
      <c r="G54" s="48">
        <f>IF(Debts!$B$8="","",IF(G53&lt;=0,0,MAX(0,ROUND((G53+H54)-MIN((G53+H54),Debts!$F$8+IF(AND(Debts!$B$8&lt;&gt;"",G53&gt;0,Debts!$G$8=$Q54),$R54,0)),2))))</f>
      </c>
      <c r="H54" s="49">
        <f>IF(OR(Debts!$B$8="",G53&lt;=0),0,ROUND(G53*Debts!$E$8/12,2))</f>
      </c>
      <c r="I54" s="48">
        <f>IF(Debts!$B$9="","",IF(I53&lt;=0,0,MAX(0,ROUND((I53+J54)-MIN((I53+J54),Debts!$F$9+IF(AND(Debts!$B$9&lt;&gt;"",I53&gt;0,Debts!$G$9=$Q54),$R54,0)),2))))</f>
      </c>
      <c r="J54" s="49">
        <f>IF(OR(Debts!$B$9="",I53&lt;=0),0,ROUND(I53*Debts!$E$9/12,2))</f>
      </c>
      <c r="K54" s="48">
        <f>IF(Debts!$B$10="","",IF(K53&lt;=0,0,MAX(0,ROUND((K53+L54)-MIN((K53+L54),Debts!$F$10+IF(AND(Debts!$B$10&lt;&gt;"",K53&gt;0,Debts!$G$10=$Q54),$R54,0)),2))))</f>
      </c>
      <c r="L54" s="49">
        <f>IF(OR(Debts!$B$10="",K53&lt;=0),0,ROUND(K53*Debts!$E$10/12,2))</f>
      </c>
      <c r="M54" s="48">
        <f>IF(Debts!$B$11="","",IF(M53&lt;=0,0,MAX(0,ROUND((M53+N54)-MIN((M53+N54),Debts!$F$11+IF(AND(Debts!$B$11&lt;&gt;"",M53&gt;0,Debts!$G$11=$Q54),$R54,0)),2))))</f>
      </c>
      <c r="N54" s="49">
        <f>IF(OR(Debts!$B$11="",M53&lt;=0),0,ROUND(M53*Debts!$E$11/12,2))</f>
      </c>
      <c r="O54" s="48">
        <f>SUM(C54,E54,G54,I54,K54,M54)</f>
      </c>
      <c r="P54" s="48">
        <f>P53+SUM(D54,F54,H54,J54,L54,N54)</f>
      </c>
      <c r="Q54">
        <f>MIN(IF(AND(Debts!$B$6&lt;&gt;"",C53&gt;0),Debts!$G$6,999),IF(AND(Debts!$B$7&lt;&gt;"",E53&gt;0),Debts!$G$7,999),IF(AND(Debts!$B$8&lt;&gt;"",G53&gt;0),Debts!$G$8,999),IF(AND(Debts!$B$9&lt;&gt;"",I53&gt;0),Debts!$G$9,999),IF(AND(Debts!$B$10&lt;&gt;"",K53&gt;0),Debts!$G$10,999),IF(AND(Debts!$B$11&lt;&gt;"",M53&gt;0),Debts!$G$11,999))</f>
      </c>
      <c r="R54">
        <f>Setup!$C$8+IF(AND(Debts!$B$6&lt;&gt;"",C53&lt;=0),Debts!$F$6,0)+IF(AND(Debts!$B$7&lt;&gt;"",E53&lt;=0),Debts!$F$7,0)+IF(AND(Debts!$B$8&lt;&gt;"",G53&lt;=0),Debts!$F$8,0)+IF(AND(Debts!$B$9&lt;&gt;"",I53&lt;=0),Debts!$F$9,0)+IF(AND(Debts!$B$10&lt;&gt;"",K53&lt;=0),Debts!$F$10,0)+IF(AND(Debts!$B$11&lt;&gt;"",M53&lt;=0),Debts!$F$11,0)</f>
      </c>
    </row>
    <row r="55" spans="1:18" x14ac:dyDescent="0.25">
      <c r="A55">
        <v>14</v>
      </c>
      <c r="B55" s="47">
        <f>EDATE(Setup!$C$9,13)</f>
      </c>
      <c r="C55" s="48">
        <f>IF(Debts!$B$6="","",IF(C54&lt;=0,0,MAX(0,ROUND((C54+D55)-MIN((C54+D55),Debts!$F$6+IF(AND(Debts!$B$6&lt;&gt;"",C54&gt;0,Debts!$G$6=$Q55),$R55,0)),2))))</f>
      </c>
      <c r="D55" s="49">
        <f>IF(OR(Debts!$B$6="",C54&lt;=0),0,ROUND(C54*Debts!$E$6/12,2))</f>
      </c>
      <c r="E55" s="48">
        <f>IF(Debts!$B$7="","",IF(E54&lt;=0,0,MAX(0,ROUND((E54+F55)-MIN((E54+F55),Debts!$F$7+IF(AND(Debts!$B$7&lt;&gt;"",E54&gt;0,Debts!$G$7=$Q55),$R55,0)),2))))</f>
      </c>
      <c r="F55" s="49">
        <f>IF(OR(Debts!$B$7="",E54&lt;=0),0,ROUND(E54*Debts!$E$7/12,2))</f>
      </c>
      <c r="G55" s="48">
        <f>IF(Debts!$B$8="","",IF(G54&lt;=0,0,MAX(0,ROUND((G54+H55)-MIN((G54+H55),Debts!$F$8+IF(AND(Debts!$B$8&lt;&gt;"",G54&gt;0,Debts!$G$8=$Q55),$R55,0)),2))))</f>
      </c>
      <c r="H55" s="49">
        <f>IF(OR(Debts!$B$8="",G54&lt;=0),0,ROUND(G54*Debts!$E$8/12,2))</f>
      </c>
      <c r="I55" s="48">
        <f>IF(Debts!$B$9="","",IF(I54&lt;=0,0,MAX(0,ROUND((I54+J55)-MIN((I54+J55),Debts!$F$9+IF(AND(Debts!$B$9&lt;&gt;"",I54&gt;0,Debts!$G$9=$Q55),$R55,0)),2))))</f>
      </c>
      <c r="J55" s="49">
        <f>IF(OR(Debts!$B$9="",I54&lt;=0),0,ROUND(I54*Debts!$E$9/12,2))</f>
      </c>
      <c r="K55" s="48">
        <f>IF(Debts!$B$10="","",IF(K54&lt;=0,0,MAX(0,ROUND((K54+L55)-MIN((K54+L55),Debts!$F$10+IF(AND(Debts!$B$10&lt;&gt;"",K54&gt;0,Debts!$G$10=$Q55),$R55,0)),2))))</f>
      </c>
      <c r="L55" s="49">
        <f>IF(OR(Debts!$B$10="",K54&lt;=0),0,ROUND(K54*Debts!$E$10/12,2))</f>
      </c>
      <c r="M55" s="48">
        <f>IF(Debts!$B$11="","",IF(M54&lt;=0,0,MAX(0,ROUND((M54+N55)-MIN((M54+N55),Debts!$F$11+IF(AND(Debts!$B$11&lt;&gt;"",M54&gt;0,Debts!$G$11=$Q55),$R55,0)),2))))</f>
      </c>
      <c r="N55" s="49">
        <f>IF(OR(Debts!$B$11="",M54&lt;=0),0,ROUND(M54*Debts!$E$11/12,2))</f>
      </c>
      <c r="O55" s="48">
        <f>SUM(C55,E55,G55,I55,K55,M55)</f>
      </c>
      <c r="P55" s="48">
        <f>P54+SUM(D55,F55,H55,J55,L55,N55)</f>
      </c>
      <c r="Q55">
        <f>MIN(IF(AND(Debts!$B$6&lt;&gt;"",C54&gt;0),Debts!$G$6,999),IF(AND(Debts!$B$7&lt;&gt;"",E54&gt;0),Debts!$G$7,999),IF(AND(Debts!$B$8&lt;&gt;"",G54&gt;0),Debts!$G$8,999),IF(AND(Debts!$B$9&lt;&gt;"",I54&gt;0),Debts!$G$9,999),IF(AND(Debts!$B$10&lt;&gt;"",K54&gt;0),Debts!$G$10,999),IF(AND(Debts!$B$11&lt;&gt;"",M54&gt;0),Debts!$G$11,999))</f>
      </c>
      <c r="R55">
        <f>Setup!$C$8+IF(AND(Debts!$B$6&lt;&gt;"",C54&lt;=0),Debts!$F$6,0)+IF(AND(Debts!$B$7&lt;&gt;"",E54&lt;=0),Debts!$F$7,0)+IF(AND(Debts!$B$8&lt;&gt;"",G54&lt;=0),Debts!$F$8,0)+IF(AND(Debts!$B$9&lt;&gt;"",I54&lt;=0),Debts!$F$9,0)+IF(AND(Debts!$B$10&lt;&gt;"",K54&lt;=0),Debts!$F$10,0)+IF(AND(Debts!$B$11&lt;&gt;"",M54&lt;=0),Debts!$F$11,0)</f>
      </c>
    </row>
    <row r="56" spans="1:18" x14ac:dyDescent="0.25">
      <c r="A56">
        <v>15</v>
      </c>
      <c r="B56" s="47">
        <f>EDATE(Setup!$C$9,14)</f>
      </c>
      <c r="C56" s="48">
        <f>IF(Debts!$B$6="","",IF(C55&lt;=0,0,MAX(0,ROUND((C55+D56)-MIN((C55+D56),Debts!$F$6+IF(AND(Debts!$B$6&lt;&gt;"",C55&gt;0,Debts!$G$6=$Q56),$R56,0)),2))))</f>
      </c>
      <c r="D56" s="49">
        <f>IF(OR(Debts!$B$6="",C55&lt;=0),0,ROUND(C55*Debts!$E$6/12,2))</f>
      </c>
      <c r="E56" s="48">
        <f>IF(Debts!$B$7="","",IF(E55&lt;=0,0,MAX(0,ROUND((E55+F56)-MIN((E55+F56),Debts!$F$7+IF(AND(Debts!$B$7&lt;&gt;"",E55&gt;0,Debts!$G$7=$Q56),$R56,0)),2))))</f>
      </c>
      <c r="F56" s="49">
        <f>IF(OR(Debts!$B$7="",E55&lt;=0),0,ROUND(E55*Debts!$E$7/12,2))</f>
      </c>
      <c r="G56" s="48">
        <f>IF(Debts!$B$8="","",IF(G55&lt;=0,0,MAX(0,ROUND((G55+H56)-MIN((G55+H56),Debts!$F$8+IF(AND(Debts!$B$8&lt;&gt;"",G55&gt;0,Debts!$G$8=$Q56),$R56,0)),2))))</f>
      </c>
      <c r="H56" s="49">
        <f>IF(OR(Debts!$B$8="",G55&lt;=0),0,ROUND(G55*Debts!$E$8/12,2))</f>
      </c>
      <c r="I56" s="48">
        <f>IF(Debts!$B$9="","",IF(I55&lt;=0,0,MAX(0,ROUND((I55+J56)-MIN((I55+J56),Debts!$F$9+IF(AND(Debts!$B$9&lt;&gt;"",I55&gt;0,Debts!$G$9=$Q56),$R56,0)),2))))</f>
      </c>
      <c r="J56" s="49">
        <f>IF(OR(Debts!$B$9="",I55&lt;=0),0,ROUND(I55*Debts!$E$9/12,2))</f>
      </c>
      <c r="K56" s="48">
        <f>IF(Debts!$B$10="","",IF(K55&lt;=0,0,MAX(0,ROUND((K55+L56)-MIN((K55+L56),Debts!$F$10+IF(AND(Debts!$B$10&lt;&gt;"",K55&gt;0,Debts!$G$10=$Q56),$R56,0)),2))))</f>
      </c>
      <c r="L56" s="49">
        <f>IF(OR(Debts!$B$10="",K55&lt;=0),0,ROUND(K55*Debts!$E$10/12,2))</f>
      </c>
      <c r="M56" s="48">
        <f>IF(Debts!$B$11="","",IF(M55&lt;=0,0,MAX(0,ROUND((M55+N56)-MIN((M55+N56),Debts!$F$11+IF(AND(Debts!$B$11&lt;&gt;"",M55&gt;0,Debts!$G$11=$Q56),$R56,0)),2))))</f>
      </c>
      <c r="N56" s="49">
        <f>IF(OR(Debts!$B$11="",M55&lt;=0),0,ROUND(M55*Debts!$E$11/12,2))</f>
      </c>
      <c r="O56" s="48">
        <f>SUM(C56,E56,G56,I56,K56,M56)</f>
      </c>
      <c r="P56" s="48">
        <f>P55+SUM(D56,F56,H56,J56,L56,N56)</f>
      </c>
      <c r="Q56">
        <f>MIN(IF(AND(Debts!$B$6&lt;&gt;"",C55&gt;0),Debts!$G$6,999),IF(AND(Debts!$B$7&lt;&gt;"",E55&gt;0),Debts!$G$7,999),IF(AND(Debts!$B$8&lt;&gt;"",G55&gt;0),Debts!$G$8,999),IF(AND(Debts!$B$9&lt;&gt;"",I55&gt;0),Debts!$G$9,999),IF(AND(Debts!$B$10&lt;&gt;"",K55&gt;0),Debts!$G$10,999),IF(AND(Debts!$B$11&lt;&gt;"",M55&gt;0),Debts!$G$11,999))</f>
      </c>
      <c r="R56">
        <f>Setup!$C$8+IF(AND(Debts!$B$6&lt;&gt;"",C55&lt;=0),Debts!$F$6,0)+IF(AND(Debts!$B$7&lt;&gt;"",E55&lt;=0),Debts!$F$7,0)+IF(AND(Debts!$B$8&lt;&gt;"",G55&lt;=0),Debts!$F$8,0)+IF(AND(Debts!$B$9&lt;&gt;"",I55&lt;=0),Debts!$F$9,0)+IF(AND(Debts!$B$10&lt;&gt;"",K55&lt;=0),Debts!$F$10,0)+IF(AND(Debts!$B$11&lt;&gt;"",M55&lt;=0),Debts!$F$11,0)</f>
      </c>
    </row>
    <row r="57" spans="1:18" x14ac:dyDescent="0.25">
      <c r="A57">
        <v>16</v>
      </c>
      <c r="B57" s="47">
        <f>EDATE(Setup!$C$9,15)</f>
      </c>
      <c r="C57" s="48">
        <f>IF(Debts!$B$6="","",IF(C56&lt;=0,0,MAX(0,ROUND((C56+D57)-MIN((C56+D57),Debts!$F$6+IF(AND(Debts!$B$6&lt;&gt;"",C56&gt;0,Debts!$G$6=$Q57),$R57,0)),2))))</f>
      </c>
      <c r="D57" s="49">
        <f>IF(OR(Debts!$B$6="",C56&lt;=0),0,ROUND(C56*Debts!$E$6/12,2))</f>
      </c>
      <c r="E57" s="48">
        <f>IF(Debts!$B$7="","",IF(E56&lt;=0,0,MAX(0,ROUND((E56+F57)-MIN((E56+F57),Debts!$F$7+IF(AND(Debts!$B$7&lt;&gt;"",E56&gt;0,Debts!$G$7=$Q57),$R57,0)),2))))</f>
      </c>
      <c r="F57" s="49">
        <f>IF(OR(Debts!$B$7="",E56&lt;=0),0,ROUND(E56*Debts!$E$7/12,2))</f>
      </c>
      <c r="G57" s="48">
        <f>IF(Debts!$B$8="","",IF(G56&lt;=0,0,MAX(0,ROUND((G56+H57)-MIN((G56+H57),Debts!$F$8+IF(AND(Debts!$B$8&lt;&gt;"",G56&gt;0,Debts!$G$8=$Q57),$R57,0)),2))))</f>
      </c>
      <c r="H57" s="49">
        <f>IF(OR(Debts!$B$8="",G56&lt;=0),0,ROUND(G56*Debts!$E$8/12,2))</f>
      </c>
      <c r="I57" s="48">
        <f>IF(Debts!$B$9="","",IF(I56&lt;=0,0,MAX(0,ROUND((I56+J57)-MIN((I56+J57),Debts!$F$9+IF(AND(Debts!$B$9&lt;&gt;"",I56&gt;0,Debts!$G$9=$Q57),$R57,0)),2))))</f>
      </c>
      <c r="J57" s="49">
        <f>IF(OR(Debts!$B$9="",I56&lt;=0),0,ROUND(I56*Debts!$E$9/12,2))</f>
      </c>
      <c r="K57" s="48">
        <f>IF(Debts!$B$10="","",IF(K56&lt;=0,0,MAX(0,ROUND((K56+L57)-MIN((K56+L57),Debts!$F$10+IF(AND(Debts!$B$10&lt;&gt;"",K56&gt;0,Debts!$G$10=$Q57),$R57,0)),2))))</f>
      </c>
      <c r="L57" s="49">
        <f>IF(OR(Debts!$B$10="",K56&lt;=0),0,ROUND(K56*Debts!$E$10/12,2))</f>
      </c>
      <c r="M57" s="48">
        <f>IF(Debts!$B$11="","",IF(M56&lt;=0,0,MAX(0,ROUND((M56+N57)-MIN((M56+N57),Debts!$F$11+IF(AND(Debts!$B$11&lt;&gt;"",M56&gt;0,Debts!$G$11=$Q57),$R57,0)),2))))</f>
      </c>
      <c r="N57" s="49">
        <f>IF(OR(Debts!$B$11="",M56&lt;=0),0,ROUND(M56*Debts!$E$11/12,2))</f>
      </c>
      <c r="O57" s="48">
        <f>SUM(C57,E57,G57,I57,K57,M57)</f>
      </c>
      <c r="P57" s="48">
        <f>P56+SUM(D57,F57,H57,J57,L57,N57)</f>
      </c>
      <c r="Q57">
        <f>MIN(IF(AND(Debts!$B$6&lt;&gt;"",C56&gt;0),Debts!$G$6,999),IF(AND(Debts!$B$7&lt;&gt;"",E56&gt;0),Debts!$G$7,999),IF(AND(Debts!$B$8&lt;&gt;"",G56&gt;0),Debts!$G$8,999),IF(AND(Debts!$B$9&lt;&gt;"",I56&gt;0),Debts!$G$9,999),IF(AND(Debts!$B$10&lt;&gt;"",K56&gt;0),Debts!$G$10,999),IF(AND(Debts!$B$11&lt;&gt;"",M56&gt;0),Debts!$G$11,999))</f>
      </c>
      <c r="R57">
        <f>Setup!$C$8+IF(AND(Debts!$B$6&lt;&gt;"",C56&lt;=0),Debts!$F$6,0)+IF(AND(Debts!$B$7&lt;&gt;"",E56&lt;=0),Debts!$F$7,0)+IF(AND(Debts!$B$8&lt;&gt;"",G56&lt;=0),Debts!$F$8,0)+IF(AND(Debts!$B$9&lt;&gt;"",I56&lt;=0),Debts!$F$9,0)+IF(AND(Debts!$B$10&lt;&gt;"",K56&lt;=0),Debts!$F$10,0)+IF(AND(Debts!$B$11&lt;&gt;"",M56&lt;=0),Debts!$F$11,0)</f>
      </c>
    </row>
    <row r="58" spans="1:18" x14ac:dyDescent="0.25">
      <c r="A58">
        <v>17</v>
      </c>
      <c r="B58" s="47">
        <f>EDATE(Setup!$C$9,16)</f>
      </c>
      <c r="C58" s="48">
        <f>IF(Debts!$B$6="","",IF(C57&lt;=0,0,MAX(0,ROUND((C57+D58)-MIN((C57+D58),Debts!$F$6+IF(AND(Debts!$B$6&lt;&gt;"",C57&gt;0,Debts!$G$6=$Q58),$R58,0)),2))))</f>
      </c>
      <c r="D58" s="49">
        <f>IF(OR(Debts!$B$6="",C57&lt;=0),0,ROUND(C57*Debts!$E$6/12,2))</f>
      </c>
      <c r="E58" s="48">
        <f>IF(Debts!$B$7="","",IF(E57&lt;=0,0,MAX(0,ROUND((E57+F58)-MIN((E57+F58),Debts!$F$7+IF(AND(Debts!$B$7&lt;&gt;"",E57&gt;0,Debts!$G$7=$Q58),$R58,0)),2))))</f>
      </c>
      <c r="F58" s="49">
        <f>IF(OR(Debts!$B$7="",E57&lt;=0),0,ROUND(E57*Debts!$E$7/12,2))</f>
      </c>
      <c r="G58" s="48">
        <f>IF(Debts!$B$8="","",IF(G57&lt;=0,0,MAX(0,ROUND((G57+H58)-MIN((G57+H58),Debts!$F$8+IF(AND(Debts!$B$8&lt;&gt;"",G57&gt;0,Debts!$G$8=$Q58),$R58,0)),2))))</f>
      </c>
      <c r="H58" s="49">
        <f>IF(OR(Debts!$B$8="",G57&lt;=0),0,ROUND(G57*Debts!$E$8/12,2))</f>
      </c>
      <c r="I58" s="48">
        <f>IF(Debts!$B$9="","",IF(I57&lt;=0,0,MAX(0,ROUND((I57+J58)-MIN((I57+J58),Debts!$F$9+IF(AND(Debts!$B$9&lt;&gt;"",I57&gt;0,Debts!$G$9=$Q58),$R58,0)),2))))</f>
      </c>
      <c r="J58" s="49">
        <f>IF(OR(Debts!$B$9="",I57&lt;=0),0,ROUND(I57*Debts!$E$9/12,2))</f>
      </c>
      <c r="K58" s="48">
        <f>IF(Debts!$B$10="","",IF(K57&lt;=0,0,MAX(0,ROUND((K57+L58)-MIN((K57+L58),Debts!$F$10+IF(AND(Debts!$B$10&lt;&gt;"",K57&gt;0,Debts!$G$10=$Q58),$R58,0)),2))))</f>
      </c>
      <c r="L58" s="49">
        <f>IF(OR(Debts!$B$10="",K57&lt;=0),0,ROUND(K57*Debts!$E$10/12,2))</f>
      </c>
      <c r="M58" s="48">
        <f>IF(Debts!$B$11="","",IF(M57&lt;=0,0,MAX(0,ROUND((M57+N58)-MIN((M57+N58),Debts!$F$11+IF(AND(Debts!$B$11&lt;&gt;"",M57&gt;0,Debts!$G$11=$Q58),$R58,0)),2))))</f>
      </c>
      <c r="N58" s="49">
        <f>IF(OR(Debts!$B$11="",M57&lt;=0),0,ROUND(M57*Debts!$E$11/12,2))</f>
      </c>
      <c r="O58" s="48">
        <f>SUM(C58,E58,G58,I58,K58,M58)</f>
      </c>
      <c r="P58" s="48">
        <f>P57+SUM(D58,F58,H58,J58,L58,N58)</f>
      </c>
      <c r="Q58">
        <f>MIN(IF(AND(Debts!$B$6&lt;&gt;"",C57&gt;0),Debts!$G$6,999),IF(AND(Debts!$B$7&lt;&gt;"",E57&gt;0),Debts!$G$7,999),IF(AND(Debts!$B$8&lt;&gt;"",G57&gt;0),Debts!$G$8,999),IF(AND(Debts!$B$9&lt;&gt;"",I57&gt;0),Debts!$G$9,999),IF(AND(Debts!$B$10&lt;&gt;"",K57&gt;0),Debts!$G$10,999),IF(AND(Debts!$B$11&lt;&gt;"",M57&gt;0),Debts!$G$11,999))</f>
      </c>
      <c r="R58">
        <f>Setup!$C$8+IF(AND(Debts!$B$6&lt;&gt;"",C57&lt;=0),Debts!$F$6,0)+IF(AND(Debts!$B$7&lt;&gt;"",E57&lt;=0),Debts!$F$7,0)+IF(AND(Debts!$B$8&lt;&gt;"",G57&lt;=0),Debts!$F$8,0)+IF(AND(Debts!$B$9&lt;&gt;"",I57&lt;=0),Debts!$F$9,0)+IF(AND(Debts!$B$10&lt;&gt;"",K57&lt;=0),Debts!$F$10,0)+IF(AND(Debts!$B$11&lt;&gt;"",M57&lt;=0),Debts!$F$11,0)</f>
      </c>
    </row>
    <row r="59" spans="1:18" x14ac:dyDescent="0.25">
      <c r="A59">
        <v>18</v>
      </c>
      <c r="B59" s="47">
        <f>EDATE(Setup!$C$9,17)</f>
      </c>
      <c r="C59" s="48">
        <f>IF(Debts!$B$6="","",IF(C58&lt;=0,0,MAX(0,ROUND((C58+D59)-MIN((C58+D59),Debts!$F$6+IF(AND(Debts!$B$6&lt;&gt;"",C58&gt;0,Debts!$G$6=$Q59),$R59,0)),2))))</f>
      </c>
      <c r="D59" s="49">
        <f>IF(OR(Debts!$B$6="",C58&lt;=0),0,ROUND(C58*Debts!$E$6/12,2))</f>
      </c>
      <c r="E59" s="48">
        <f>IF(Debts!$B$7="","",IF(E58&lt;=0,0,MAX(0,ROUND((E58+F59)-MIN((E58+F59),Debts!$F$7+IF(AND(Debts!$B$7&lt;&gt;"",E58&gt;0,Debts!$G$7=$Q59),$R59,0)),2))))</f>
      </c>
      <c r="F59" s="49">
        <f>IF(OR(Debts!$B$7="",E58&lt;=0),0,ROUND(E58*Debts!$E$7/12,2))</f>
      </c>
      <c r="G59" s="48">
        <f>IF(Debts!$B$8="","",IF(G58&lt;=0,0,MAX(0,ROUND((G58+H59)-MIN((G58+H59),Debts!$F$8+IF(AND(Debts!$B$8&lt;&gt;"",G58&gt;0,Debts!$G$8=$Q59),$R59,0)),2))))</f>
      </c>
      <c r="H59" s="49">
        <f>IF(OR(Debts!$B$8="",G58&lt;=0),0,ROUND(G58*Debts!$E$8/12,2))</f>
      </c>
      <c r="I59" s="48">
        <f>IF(Debts!$B$9="","",IF(I58&lt;=0,0,MAX(0,ROUND((I58+J59)-MIN((I58+J59),Debts!$F$9+IF(AND(Debts!$B$9&lt;&gt;"",I58&gt;0,Debts!$G$9=$Q59),$R59,0)),2))))</f>
      </c>
      <c r="J59" s="49">
        <f>IF(OR(Debts!$B$9="",I58&lt;=0),0,ROUND(I58*Debts!$E$9/12,2))</f>
      </c>
      <c r="K59" s="48">
        <f>IF(Debts!$B$10="","",IF(K58&lt;=0,0,MAX(0,ROUND((K58+L59)-MIN((K58+L59),Debts!$F$10+IF(AND(Debts!$B$10&lt;&gt;"",K58&gt;0,Debts!$G$10=$Q59),$R59,0)),2))))</f>
      </c>
      <c r="L59" s="49">
        <f>IF(OR(Debts!$B$10="",K58&lt;=0),0,ROUND(K58*Debts!$E$10/12,2))</f>
      </c>
      <c r="M59" s="48">
        <f>IF(Debts!$B$11="","",IF(M58&lt;=0,0,MAX(0,ROUND((M58+N59)-MIN((M58+N59),Debts!$F$11+IF(AND(Debts!$B$11&lt;&gt;"",M58&gt;0,Debts!$G$11=$Q59),$R59,0)),2))))</f>
      </c>
      <c r="N59" s="49">
        <f>IF(OR(Debts!$B$11="",M58&lt;=0),0,ROUND(M58*Debts!$E$11/12,2))</f>
      </c>
      <c r="O59" s="48">
        <f>SUM(C59,E59,G59,I59,K59,M59)</f>
      </c>
      <c r="P59" s="48">
        <f>P58+SUM(D59,F59,H59,J59,L59,N59)</f>
      </c>
      <c r="Q59">
        <f>MIN(IF(AND(Debts!$B$6&lt;&gt;"",C58&gt;0),Debts!$G$6,999),IF(AND(Debts!$B$7&lt;&gt;"",E58&gt;0),Debts!$G$7,999),IF(AND(Debts!$B$8&lt;&gt;"",G58&gt;0),Debts!$G$8,999),IF(AND(Debts!$B$9&lt;&gt;"",I58&gt;0),Debts!$G$9,999),IF(AND(Debts!$B$10&lt;&gt;"",K58&gt;0),Debts!$G$10,999),IF(AND(Debts!$B$11&lt;&gt;"",M58&gt;0),Debts!$G$11,999))</f>
      </c>
      <c r="R59">
        <f>Setup!$C$8+IF(AND(Debts!$B$6&lt;&gt;"",C58&lt;=0),Debts!$F$6,0)+IF(AND(Debts!$B$7&lt;&gt;"",E58&lt;=0),Debts!$F$7,0)+IF(AND(Debts!$B$8&lt;&gt;"",G58&lt;=0),Debts!$F$8,0)+IF(AND(Debts!$B$9&lt;&gt;"",I58&lt;=0),Debts!$F$9,0)+IF(AND(Debts!$B$10&lt;&gt;"",K58&lt;=0),Debts!$F$10,0)+IF(AND(Debts!$B$11&lt;&gt;"",M58&lt;=0),Debts!$F$11,0)</f>
      </c>
    </row>
    <row r="60" spans="1:18" x14ac:dyDescent="0.25">
      <c r="A60">
        <v>19</v>
      </c>
      <c r="B60" s="47">
        <f>EDATE(Setup!$C$9,18)</f>
      </c>
      <c r="C60" s="48">
        <f>IF(Debts!$B$6="","",IF(C59&lt;=0,0,MAX(0,ROUND((C59+D60)-MIN((C59+D60),Debts!$F$6+IF(AND(Debts!$B$6&lt;&gt;"",C59&gt;0,Debts!$G$6=$Q60),$R60,0)),2))))</f>
      </c>
      <c r="D60" s="49">
        <f>IF(OR(Debts!$B$6="",C59&lt;=0),0,ROUND(C59*Debts!$E$6/12,2))</f>
      </c>
      <c r="E60" s="48">
        <f>IF(Debts!$B$7="","",IF(E59&lt;=0,0,MAX(0,ROUND((E59+F60)-MIN((E59+F60),Debts!$F$7+IF(AND(Debts!$B$7&lt;&gt;"",E59&gt;0,Debts!$G$7=$Q60),$R60,0)),2))))</f>
      </c>
      <c r="F60" s="49">
        <f>IF(OR(Debts!$B$7="",E59&lt;=0),0,ROUND(E59*Debts!$E$7/12,2))</f>
      </c>
      <c r="G60" s="48">
        <f>IF(Debts!$B$8="","",IF(G59&lt;=0,0,MAX(0,ROUND((G59+H60)-MIN((G59+H60),Debts!$F$8+IF(AND(Debts!$B$8&lt;&gt;"",G59&gt;0,Debts!$G$8=$Q60),$R60,0)),2))))</f>
      </c>
      <c r="H60" s="49">
        <f>IF(OR(Debts!$B$8="",G59&lt;=0),0,ROUND(G59*Debts!$E$8/12,2))</f>
      </c>
      <c r="I60" s="48">
        <f>IF(Debts!$B$9="","",IF(I59&lt;=0,0,MAX(0,ROUND((I59+J60)-MIN((I59+J60),Debts!$F$9+IF(AND(Debts!$B$9&lt;&gt;"",I59&gt;0,Debts!$G$9=$Q60),$R60,0)),2))))</f>
      </c>
      <c r="J60" s="49">
        <f>IF(OR(Debts!$B$9="",I59&lt;=0),0,ROUND(I59*Debts!$E$9/12,2))</f>
      </c>
      <c r="K60" s="48">
        <f>IF(Debts!$B$10="","",IF(K59&lt;=0,0,MAX(0,ROUND((K59+L60)-MIN((K59+L60),Debts!$F$10+IF(AND(Debts!$B$10&lt;&gt;"",K59&gt;0,Debts!$G$10=$Q60),$R60,0)),2))))</f>
      </c>
      <c r="L60" s="49">
        <f>IF(OR(Debts!$B$10="",K59&lt;=0),0,ROUND(K59*Debts!$E$10/12,2))</f>
      </c>
      <c r="M60" s="48">
        <f>IF(Debts!$B$11="","",IF(M59&lt;=0,0,MAX(0,ROUND((M59+N60)-MIN((M59+N60),Debts!$F$11+IF(AND(Debts!$B$11&lt;&gt;"",M59&gt;0,Debts!$G$11=$Q60),$R60,0)),2))))</f>
      </c>
      <c r="N60" s="49">
        <f>IF(OR(Debts!$B$11="",M59&lt;=0),0,ROUND(M59*Debts!$E$11/12,2))</f>
      </c>
      <c r="O60" s="48">
        <f>SUM(C60,E60,G60,I60,K60,M60)</f>
      </c>
      <c r="P60" s="48">
        <f>P59+SUM(D60,F60,H60,J60,L60,N60)</f>
      </c>
      <c r="Q60">
        <f>MIN(IF(AND(Debts!$B$6&lt;&gt;"",C59&gt;0),Debts!$G$6,999),IF(AND(Debts!$B$7&lt;&gt;"",E59&gt;0),Debts!$G$7,999),IF(AND(Debts!$B$8&lt;&gt;"",G59&gt;0),Debts!$G$8,999),IF(AND(Debts!$B$9&lt;&gt;"",I59&gt;0),Debts!$G$9,999),IF(AND(Debts!$B$10&lt;&gt;"",K59&gt;0),Debts!$G$10,999),IF(AND(Debts!$B$11&lt;&gt;"",M59&gt;0),Debts!$G$11,999))</f>
      </c>
      <c r="R60">
        <f>Setup!$C$8+IF(AND(Debts!$B$6&lt;&gt;"",C59&lt;=0),Debts!$F$6,0)+IF(AND(Debts!$B$7&lt;&gt;"",E59&lt;=0),Debts!$F$7,0)+IF(AND(Debts!$B$8&lt;&gt;"",G59&lt;=0),Debts!$F$8,0)+IF(AND(Debts!$B$9&lt;&gt;"",I59&lt;=0),Debts!$F$9,0)+IF(AND(Debts!$B$10&lt;&gt;"",K59&lt;=0),Debts!$F$10,0)+IF(AND(Debts!$B$11&lt;&gt;"",M59&lt;=0),Debts!$F$11,0)</f>
      </c>
    </row>
    <row r="61" spans="1:18" x14ac:dyDescent="0.25">
      <c r="A61">
        <v>20</v>
      </c>
      <c r="B61" s="47">
        <f>EDATE(Setup!$C$9,19)</f>
      </c>
      <c r="C61" s="48">
        <f>IF(Debts!$B$6="","",IF(C60&lt;=0,0,MAX(0,ROUND((C60+D61)-MIN((C60+D61),Debts!$F$6+IF(AND(Debts!$B$6&lt;&gt;"",C60&gt;0,Debts!$G$6=$Q61),$R61,0)),2))))</f>
      </c>
      <c r="D61" s="49">
        <f>IF(OR(Debts!$B$6="",C60&lt;=0),0,ROUND(C60*Debts!$E$6/12,2))</f>
      </c>
      <c r="E61" s="48">
        <f>IF(Debts!$B$7="","",IF(E60&lt;=0,0,MAX(0,ROUND((E60+F61)-MIN((E60+F61),Debts!$F$7+IF(AND(Debts!$B$7&lt;&gt;"",E60&gt;0,Debts!$G$7=$Q61),$R61,0)),2))))</f>
      </c>
      <c r="F61" s="49">
        <f>IF(OR(Debts!$B$7="",E60&lt;=0),0,ROUND(E60*Debts!$E$7/12,2))</f>
      </c>
      <c r="G61" s="48">
        <f>IF(Debts!$B$8="","",IF(G60&lt;=0,0,MAX(0,ROUND((G60+H61)-MIN((G60+H61),Debts!$F$8+IF(AND(Debts!$B$8&lt;&gt;"",G60&gt;0,Debts!$G$8=$Q61),$R61,0)),2))))</f>
      </c>
      <c r="H61" s="49">
        <f>IF(OR(Debts!$B$8="",G60&lt;=0),0,ROUND(G60*Debts!$E$8/12,2))</f>
      </c>
      <c r="I61" s="48">
        <f>IF(Debts!$B$9="","",IF(I60&lt;=0,0,MAX(0,ROUND((I60+J61)-MIN((I60+J61),Debts!$F$9+IF(AND(Debts!$B$9&lt;&gt;"",I60&gt;0,Debts!$G$9=$Q61),$R61,0)),2))))</f>
      </c>
      <c r="J61" s="49">
        <f>IF(OR(Debts!$B$9="",I60&lt;=0),0,ROUND(I60*Debts!$E$9/12,2))</f>
      </c>
      <c r="K61" s="48">
        <f>IF(Debts!$B$10="","",IF(K60&lt;=0,0,MAX(0,ROUND((K60+L61)-MIN((K60+L61),Debts!$F$10+IF(AND(Debts!$B$10&lt;&gt;"",K60&gt;0,Debts!$G$10=$Q61),$R61,0)),2))))</f>
      </c>
      <c r="L61" s="49">
        <f>IF(OR(Debts!$B$10="",K60&lt;=0),0,ROUND(K60*Debts!$E$10/12,2))</f>
      </c>
      <c r="M61" s="48">
        <f>IF(Debts!$B$11="","",IF(M60&lt;=0,0,MAX(0,ROUND((M60+N61)-MIN((M60+N61),Debts!$F$11+IF(AND(Debts!$B$11&lt;&gt;"",M60&gt;0,Debts!$G$11=$Q61),$R61,0)),2))))</f>
      </c>
      <c r="N61" s="49">
        <f>IF(OR(Debts!$B$11="",M60&lt;=0),0,ROUND(M60*Debts!$E$11/12,2))</f>
      </c>
      <c r="O61" s="48">
        <f>SUM(C61,E61,G61,I61,K61,M61)</f>
      </c>
      <c r="P61" s="48">
        <f>P60+SUM(D61,F61,H61,J61,L61,N61)</f>
      </c>
      <c r="Q61">
        <f>MIN(IF(AND(Debts!$B$6&lt;&gt;"",C60&gt;0),Debts!$G$6,999),IF(AND(Debts!$B$7&lt;&gt;"",E60&gt;0),Debts!$G$7,999),IF(AND(Debts!$B$8&lt;&gt;"",G60&gt;0),Debts!$G$8,999),IF(AND(Debts!$B$9&lt;&gt;"",I60&gt;0),Debts!$G$9,999),IF(AND(Debts!$B$10&lt;&gt;"",K60&gt;0),Debts!$G$10,999),IF(AND(Debts!$B$11&lt;&gt;"",M60&gt;0),Debts!$G$11,999))</f>
      </c>
      <c r="R61">
        <f>Setup!$C$8+IF(AND(Debts!$B$6&lt;&gt;"",C60&lt;=0),Debts!$F$6,0)+IF(AND(Debts!$B$7&lt;&gt;"",E60&lt;=0),Debts!$F$7,0)+IF(AND(Debts!$B$8&lt;&gt;"",G60&lt;=0),Debts!$F$8,0)+IF(AND(Debts!$B$9&lt;&gt;"",I60&lt;=0),Debts!$F$9,0)+IF(AND(Debts!$B$10&lt;&gt;"",K60&lt;=0),Debts!$F$10,0)+IF(AND(Debts!$B$11&lt;&gt;"",M60&lt;=0),Debts!$F$11,0)</f>
      </c>
    </row>
    <row r="62" spans="1:18" x14ac:dyDescent="0.25">
      <c r="A62">
        <v>21</v>
      </c>
      <c r="B62" s="47">
        <f>EDATE(Setup!$C$9,20)</f>
      </c>
      <c r="C62" s="48">
        <f>IF(Debts!$B$6="","",IF(C61&lt;=0,0,MAX(0,ROUND((C61+D62)-MIN((C61+D62),Debts!$F$6+IF(AND(Debts!$B$6&lt;&gt;"",C61&gt;0,Debts!$G$6=$Q62),$R62,0)),2))))</f>
      </c>
      <c r="D62" s="49">
        <f>IF(OR(Debts!$B$6="",C61&lt;=0),0,ROUND(C61*Debts!$E$6/12,2))</f>
      </c>
      <c r="E62" s="48">
        <f>IF(Debts!$B$7="","",IF(E61&lt;=0,0,MAX(0,ROUND((E61+F62)-MIN((E61+F62),Debts!$F$7+IF(AND(Debts!$B$7&lt;&gt;"",E61&gt;0,Debts!$G$7=$Q62),$R62,0)),2))))</f>
      </c>
      <c r="F62" s="49">
        <f>IF(OR(Debts!$B$7="",E61&lt;=0),0,ROUND(E61*Debts!$E$7/12,2))</f>
      </c>
      <c r="G62" s="48">
        <f>IF(Debts!$B$8="","",IF(G61&lt;=0,0,MAX(0,ROUND((G61+H62)-MIN((G61+H62),Debts!$F$8+IF(AND(Debts!$B$8&lt;&gt;"",G61&gt;0,Debts!$G$8=$Q62),$R62,0)),2))))</f>
      </c>
      <c r="H62" s="49">
        <f>IF(OR(Debts!$B$8="",G61&lt;=0),0,ROUND(G61*Debts!$E$8/12,2))</f>
      </c>
      <c r="I62" s="48">
        <f>IF(Debts!$B$9="","",IF(I61&lt;=0,0,MAX(0,ROUND((I61+J62)-MIN((I61+J62),Debts!$F$9+IF(AND(Debts!$B$9&lt;&gt;"",I61&gt;0,Debts!$G$9=$Q62),$R62,0)),2))))</f>
      </c>
      <c r="J62" s="49">
        <f>IF(OR(Debts!$B$9="",I61&lt;=0),0,ROUND(I61*Debts!$E$9/12,2))</f>
      </c>
      <c r="K62" s="48">
        <f>IF(Debts!$B$10="","",IF(K61&lt;=0,0,MAX(0,ROUND((K61+L62)-MIN((K61+L62),Debts!$F$10+IF(AND(Debts!$B$10&lt;&gt;"",K61&gt;0,Debts!$G$10=$Q62),$R62,0)),2))))</f>
      </c>
      <c r="L62" s="49">
        <f>IF(OR(Debts!$B$10="",K61&lt;=0),0,ROUND(K61*Debts!$E$10/12,2))</f>
      </c>
      <c r="M62" s="48">
        <f>IF(Debts!$B$11="","",IF(M61&lt;=0,0,MAX(0,ROUND((M61+N62)-MIN((M61+N62),Debts!$F$11+IF(AND(Debts!$B$11&lt;&gt;"",M61&gt;0,Debts!$G$11=$Q62),$R62,0)),2))))</f>
      </c>
      <c r="N62" s="49">
        <f>IF(OR(Debts!$B$11="",M61&lt;=0),0,ROUND(M61*Debts!$E$11/12,2))</f>
      </c>
      <c r="O62" s="48">
        <f>SUM(C62,E62,G62,I62,K62,M62)</f>
      </c>
      <c r="P62" s="48">
        <f>P61+SUM(D62,F62,H62,J62,L62,N62)</f>
      </c>
      <c r="Q62">
        <f>MIN(IF(AND(Debts!$B$6&lt;&gt;"",C61&gt;0),Debts!$G$6,999),IF(AND(Debts!$B$7&lt;&gt;"",E61&gt;0),Debts!$G$7,999),IF(AND(Debts!$B$8&lt;&gt;"",G61&gt;0),Debts!$G$8,999),IF(AND(Debts!$B$9&lt;&gt;"",I61&gt;0),Debts!$G$9,999),IF(AND(Debts!$B$10&lt;&gt;"",K61&gt;0),Debts!$G$10,999),IF(AND(Debts!$B$11&lt;&gt;"",M61&gt;0),Debts!$G$11,999))</f>
      </c>
      <c r="R62">
        <f>Setup!$C$8+IF(AND(Debts!$B$6&lt;&gt;"",C61&lt;=0),Debts!$F$6,0)+IF(AND(Debts!$B$7&lt;&gt;"",E61&lt;=0),Debts!$F$7,0)+IF(AND(Debts!$B$8&lt;&gt;"",G61&lt;=0),Debts!$F$8,0)+IF(AND(Debts!$B$9&lt;&gt;"",I61&lt;=0),Debts!$F$9,0)+IF(AND(Debts!$B$10&lt;&gt;"",K61&lt;=0),Debts!$F$10,0)+IF(AND(Debts!$B$11&lt;&gt;"",M61&lt;=0),Debts!$F$11,0)</f>
      </c>
    </row>
    <row r="63" spans="1:18" x14ac:dyDescent="0.25">
      <c r="A63">
        <v>22</v>
      </c>
      <c r="B63" s="47">
        <f>EDATE(Setup!$C$9,21)</f>
      </c>
      <c r="C63" s="48">
        <f>IF(Debts!$B$6="","",IF(C62&lt;=0,0,MAX(0,ROUND((C62+D63)-MIN((C62+D63),Debts!$F$6+IF(AND(Debts!$B$6&lt;&gt;"",C62&gt;0,Debts!$G$6=$Q63),$R63,0)),2))))</f>
      </c>
      <c r="D63" s="49">
        <f>IF(OR(Debts!$B$6="",C62&lt;=0),0,ROUND(C62*Debts!$E$6/12,2))</f>
      </c>
      <c r="E63" s="48">
        <f>IF(Debts!$B$7="","",IF(E62&lt;=0,0,MAX(0,ROUND((E62+F63)-MIN((E62+F63),Debts!$F$7+IF(AND(Debts!$B$7&lt;&gt;"",E62&gt;0,Debts!$G$7=$Q63),$R63,0)),2))))</f>
      </c>
      <c r="F63" s="49">
        <f>IF(OR(Debts!$B$7="",E62&lt;=0),0,ROUND(E62*Debts!$E$7/12,2))</f>
      </c>
      <c r="G63" s="48">
        <f>IF(Debts!$B$8="","",IF(G62&lt;=0,0,MAX(0,ROUND((G62+H63)-MIN((G62+H63),Debts!$F$8+IF(AND(Debts!$B$8&lt;&gt;"",G62&gt;0,Debts!$G$8=$Q63),$R63,0)),2))))</f>
      </c>
      <c r="H63" s="49">
        <f>IF(OR(Debts!$B$8="",G62&lt;=0),0,ROUND(G62*Debts!$E$8/12,2))</f>
      </c>
      <c r="I63" s="48">
        <f>IF(Debts!$B$9="","",IF(I62&lt;=0,0,MAX(0,ROUND((I62+J63)-MIN((I62+J63),Debts!$F$9+IF(AND(Debts!$B$9&lt;&gt;"",I62&gt;0,Debts!$G$9=$Q63),$R63,0)),2))))</f>
      </c>
      <c r="J63" s="49">
        <f>IF(OR(Debts!$B$9="",I62&lt;=0),0,ROUND(I62*Debts!$E$9/12,2))</f>
      </c>
      <c r="K63" s="48">
        <f>IF(Debts!$B$10="","",IF(K62&lt;=0,0,MAX(0,ROUND((K62+L63)-MIN((K62+L63),Debts!$F$10+IF(AND(Debts!$B$10&lt;&gt;"",K62&gt;0,Debts!$G$10=$Q63),$R63,0)),2))))</f>
      </c>
      <c r="L63" s="49">
        <f>IF(OR(Debts!$B$10="",K62&lt;=0),0,ROUND(K62*Debts!$E$10/12,2))</f>
      </c>
      <c r="M63" s="48">
        <f>IF(Debts!$B$11="","",IF(M62&lt;=0,0,MAX(0,ROUND((M62+N63)-MIN((M62+N63),Debts!$F$11+IF(AND(Debts!$B$11&lt;&gt;"",M62&gt;0,Debts!$G$11=$Q63),$R63,0)),2))))</f>
      </c>
      <c r="N63" s="49">
        <f>IF(OR(Debts!$B$11="",M62&lt;=0),0,ROUND(M62*Debts!$E$11/12,2))</f>
      </c>
      <c r="O63" s="48">
        <f>SUM(C63,E63,G63,I63,K63,M63)</f>
      </c>
      <c r="P63" s="48">
        <f>P62+SUM(D63,F63,H63,J63,L63,N63)</f>
      </c>
      <c r="Q63">
        <f>MIN(IF(AND(Debts!$B$6&lt;&gt;"",C62&gt;0),Debts!$G$6,999),IF(AND(Debts!$B$7&lt;&gt;"",E62&gt;0),Debts!$G$7,999),IF(AND(Debts!$B$8&lt;&gt;"",G62&gt;0),Debts!$G$8,999),IF(AND(Debts!$B$9&lt;&gt;"",I62&gt;0),Debts!$G$9,999),IF(AND(Debts!$B$10&lt;&gt;"",K62&gt;0),Debts!$G$10,999),IF(AND(Debts!$B$11&lt;&gt;"",M62&gt;0),Debts!$G$11,999))</f>
      </c>
      <c r="R63">
        <f>Setup!$C$8+IF(AND(Debts!$B$6&lt;&gt;"",C62&lt;=0),Debts!$F$6,0)+IF(AND(Debts!$B$7&lt;&gt;"",E62&lt;=0),Debts!$F$7,0)+IF(AND(Debts!$B$8&lt;&gt;"",G62&lt;=0),Debts!$F$8,0)+IF(AND(Debts!$B$9&lt;&gt;"",I62&lt;=0),Debts!$F$9,0)+IF(AND(Debts!$B$10&lt;&gt;"",K62&lt;=0),Debts!$F$10,0)+IF(AND(Debts!$B$11&lt;&gt;"",M62&lt;=0),Debts!$F$11,0)</f>
      </c>
    </row>
    <row r="64" spans="1:18" x14ac:dyDescent="0.25">
      <c r="A64">
        <v>23</v>
      </c>
      <c r="B64" s="47">
        <f>EDATE(Setup!$C$9,22)</f>
      </c>
      <c r="C64" s="48">
        <f>IF(Debts!$B$6="","",IF(C63&lt;=0,0,MAX(0,ROUND((C63+D64)-MIN((C63+D64),Debts!$F$6+IF(AND(Debts!$B$6&lt;&gt;"",C63&gt;0,Debts!$G$6=$Q64),$R64,0)),2))))</f>
      </c>
      <c r="D64" s="49">
        <f>IF(OR(Debts!$B$6="",C63&lt;=0),0,ROUND(C63*Debts!$E$6/12,2))</f>
      </c>
      <c r="E64" s="48">
        <f>IF(Debts!$B$7="","",IF(E63&lt;=0,0,MAX(0,ROUND((E63+F64)-MIN((E63+F64),Debts!$F$7+IF(AND(Debts!$B$7&lt;&gt;"",E63&gt;0,Debts!$G$7=$Q64),$R64,0)),2))))</f>
      </c>
      <c r="F64" s="49">
        <f>IF(OR(Debts!$B$7="",E63&lt;=0),0,ROUND(E63*Debts!$E$7/12,2))</f>
      </c>
      <c r="G64" s="48">
        <f>IF(Debts!$B$8="","",IF(G63&lt;=0,0,MAX(0,ROUND((G63+H64)-MIN((G63+H64),Debts!$F$8+IF(AND(Debts!$B$8&lt;&gt;"",G63&gt;0,Debts!$G$8=$Q64),$R64,0)),2))))</f>
      </c>
      <c r="H64" s="49">
        <f>IF(OR(Debts!$B$8="",G63&lt;=0),0,ROUND(G63*Debts!$E$8/12,2))</f>
      </c>
      <c r="I64" s="48">
        <f>IF(Debts!$B$9="","",IF(I63&lt;=0,0,MAX(0,ROUND((I63+J64)-MIN((I63+J64),Debts!$F$9+IF(AND(Debts!$B$9&lt;&gt;"",I63&gt;0,Debts!$G$9=$Q64),$R64,0)),2))))</f>
      </c>
      <c r="J64" s="49">
        <f>IF(OR(Debts!$B$9="",I63&lt;=0),0,ROUND(I63*Debts!$E$9/12,2))</f>
      </c>
      <c r="K64" s="48">
        <f>IF(Debts!$B$10="","",IF(K63&lt;=0,0,MAX(0,ROUND((K63+L64)-MIN((K63+L64),Debts!$F$10+IF(AND(Debts!$B$10&lt;&gt;"",K63&gt;0,Debts!$G$10=$Q64),$R64,0)),2))))</f>
      </c>
      <c r="L64" s="49">
        <f>IF(OR(Debts!$B$10="",K63&lt;=0),0,ROUND(K63*Debts!$E$10/12,2))</f>
      </c>
      <c r="M64" s="48">
        <f>IF(Debts!$B$11="","",IF(M63&lt;=0,0,MAX(0,ROUND((M63+N64)-MIN((M63+N64),Debts!$F$11+IF(AND(Debts!$B$11&lt;&gt;"",M63&gt;0,Debts!$G$11=$Q64),$R64,0)),2))))</f>
      </c>
      <c r="N64" s="49">
        <f>IF(OR(Debts!$B$11="",M63&lt;=0),0,ROUND(M63*Debts!$E$11/12,2))</f>
      </c>
      <c r="O64" s="48">
        <f>SUM(C64,E64,G64,I64,K64,M64)</f>
      </c>
      <c r="P64" s="48">
        <f>P63+SUM(D64,F64,H64,J64,L64,N64)</f>
      </c>
      <c r="Q64">
        <f>MIN(IF(AND(Debts!$B$6&lt;&gt;"",C63&gt;0),Debts!$G$6,999),IF(AND(Debts!$B$7&lt;&gt;"",E63&gt;0),Debts!$G$7,999),IF(AND(Debts!$B$8&lt;&gt;"",G63&gt;0),Debts!$G$8,999),IF(AND(Debts!$B$9&lt;&gt;"",I63&gt;0),Debts!$G$9,999),IF(AND(Debts!$B$10&lt;&gt;"",K63&gt;0),Debts!$G$10,999),IF(AND(Debts!$B$11&lt;&gt;"",M63&gt;0),Debts!$G$11,999))</f>
      </c>
      <c r="R64">
        <f>Setup!$C$8+IF(AND(Debts!$B$6&lt;&gt;"",C63&lt;=0),Debts!$F$6,0)+IF(AND(Debts!$B$7&lt;&gt;"",E63&lt;=0),Debts!$F$7,0)+IF(AND(Debts!$B$8&lt;&gt;"",G63&lt;=0),Debts!$F$8,0)+IF(AND(Debts!$B$9&lt;&gt;"",I63&lt;=0),Debts!$F$9,0)+IF(AND(Debts!$B$10&lt;&gt;"",K63&lt;=0),Debts!$F$10,0)+IF(AND(Debts!$B$11&lt;&gt;"",M63&lt;=0),Debts!$F$11,0)</f>
      </c>
    </row>
    <row r="65" spans="1:18" x14ac:dyDescent="0.25">
      <c r="A65">
        <v>24</v>
      </c>
      <c r="B65" s="47">
        <f>EDATE(Setup!$C$9,23)</f>
      </c>
      <c r="C65" s="48">
        <f>IF(Debts!$B$6="","",IF(C64&lt;=0,0,MAX(0,ROUND((C64+D65)-MIN((C64+D65),Debts!$F$6+IF(AND(Debts!$B$6&lt;&gt;"",C64&gt;0,Debts!$G$6=$Q65),$R65,0)),2))))</f>
      </c>
      <c r="D65" s="49">
        <f>IF(OR(Debts!$B$6="",C64&lt;=0),0,ROUND(C64*Debts!$E$6/12,2))</f>
      </c>
      <c r="E65" s="48">
        <f>IF(Debts!$B$7="","",IF(E64&lt;=0,0,MAX(0,ROUND((E64+F65)-MIN((E64+F65),Debts!$F$7+IF(AND(Debts!$B$7&lt;&gt;"",E64&gt;0,Debts!$G$7=$Q65),$R65,0)),2))))</f>
      </c>
      <c r="F65" s="49">
        <f>IF(OR(Debts!$B$7="",E64&lt;=0),0,ROUND(E64*Debts!$E$7/12,2))</f>
      </c>
      <c r="G65" s="48">
        <f>IF(Debts!$B$8="","",IF(G64&lt;=0,0,MAX(0,ROUND((G64+H65)-MIN((G64+H65),Debts!$F$8+IF(AND(Debts!$B$8&lt;&gt;"",G64&gt;0,Debts!$G$8=$Q65),$R65,0)),2))))</f>
      </c>
      <c r="H65" s="49">
        <f>IF(OR(Debts!$B$8="",G64&lt;=0),0,ROUND(G64*Debts!$E$8/12,2))</f>
      </c>
      <c r="I65" s="48">
        <f>IF(Debts!$B$9="","",IF(I64&lt;=0,0,MAX(0,ROUND((I64+J65)-MIN((I64+J65),Debts!$F$9+IF(AND(Debts!$B$9&lt;&gt;"",I64&gt;0,Debts!$G$9=$Q65),$R65,0)),2))))</f>
      </c>
      <c r="J65" s="49">
        <f>IF(OR(Debts!$B$9="",I64&lt;=0),0,ROUND(I64*Debts!$E$9/12,2))</f>
      </c>
      <c r="K65" s="48">
        <f>IF(Debts!$B$10="","",IF(K64&lt;=0,0,MAX(0,ROUND((K64+L65)-MIN((K64+L65),Debts!$F$10+IF(AND(Debts!$B$10&lt;&gt;"",K64&gt;0,Debts!$G$10=$Q65),$R65,0)),2))))</f>
      </c>
      <c r="L65" s="49">
        <f>IF(OR(Debts!$B$10="",K64&lt;=0),0,ROUND(K64*Debts!$E$10/12,2))</f>
      </c>
      <c r="M65" s="48">
        <f>IF(Debts!$B$11="","",IF(M64&lt;=0,0,MAX(0,ROUND((M64+N65)-MIN((M64+N65),Debts!$F$11+IF(AND(Debts!$B$11&lt;&gt;"",M64&gt;0,Debts!$G$11=$Q65),$R65,0)),2))))</f>
      </c>
      <c r="N65" s="49">
        <f>IF(OR(Debts!$B$11="",M64&lt;=0),0,ROUND(M64*Debts!$E$11/12,2))</f>
      </c>
      <c r="O65" s="48">
        <f>SUM(C65,E65,G65,I65,K65,M65)</f>
      </c>
      <c r="P65" s="48">
        <f>P64+SUM(D65,F65,H65,J65,L65,N65)</f>
      </c>
      <c r="Q65">
        <f>MIN(IF(AND(Debts!$B$6&lt;&gt;"",C64&gt;0),Debts!$G$6,999),IF(AND(Debts!$B$7&lt;&gt;"",E64&gt;0),Debts!$G$7,999),IF(AND(Debts!$B$8&lt;&gt;"",G64&gt;0),Debts!$G$8,999),IF(AND(Debts!$B$9&lt;&gt;"",I64&gt;0),Debts!$G$9,999),IF(AND(Debts!$B$10&lt;&gt;"",K64&gt;0),Debts!$G$10,999),IF(AND(Debts!$B$11&lt;&gt;"",M64&gt;0),Debts!$G$11,999))</f>
      </c>
      <c r="R65">
        <f>Setup!$C$8+IF(AND(Debts!$B$6&lt;&gt;"",C64&lt;=0),Debts!$F$6,0)+IF(AND(Debts!$B$7&lt;&gt;"",E64&lt;=0),Debts!$F$7,0)+IF(AND(Debts!$B$8&lt;&gt;"",G64&lt;=0),Debts!$F$8,0)+IF(AND(Debts!$B$9&lt;&gt;"",I64&lt;=0),Debts!$F$9,0)+IF(AND(Debts!$B$10&lt;&gt;"",K64&lt;=0),Debts!$F$10,0)+IF(AND(Debts!$B$11&lt;&gt;"",M64&lt;=0),Debts!$F$11,0)</f>
      </c>
    </row>
    <row r="66" spans="1:18" x14ac:dyDescent="0.25">
      <c r="A66">
        <v>25</v>
      </c>
      <c r="B66" s="47">
        <f>EDATE(Setup!$C$9,24)</f>
      </c>
      <c r="C66" s="48">
        <f>IF(Debts!$B$6="","",IF(C65&lt;=0,0,MAX(0,ROUND((C65+D66)-MIN((C65+D66),Debts!$F$6+IF(AND(Debts!$B$6&lt;&gt;"",C65&gt;0,Debts!$G$6=$Q66),$R66,0)),2))))</f>
      </c>
      <c r="D66" s="49">
        <f>IF(OR(Debts!$B$6="",C65&lt;=0),0,ROUND(C65*Debts!$E$6/12,2))</f>
      </c>
      <c r="E66" s="48">
        <f>IF(Debts!$B$7="","",IF(E65&lt;=0,0,MAX(0,ROUND((E65+F66)-MIN((E65+F66),Debts!$F$7+IF(AND(Debts!$B$7&lt;&gt;"",E65&gt;0,Debts!$G$7=$Q66),$R66,0)),2))))</f>
      </c>
      <c r="F66" s="49">
        <f>IF(OR(Debts!$B$7="",E65&lt;=0),0,ROUND(E65*Debts!$E$7/12,2))</f>
      </c>
      <c r="G66" s="48">
        <f>IF(Debts!$B$8="","",IF(G65&lt;=0,0,MAX(0,ROUND((G65+H66)-MIN((G65+H66),Debts!$F$8+IF(AND(Debts!$B$8&lt;&gt;"",G65&gt;0,Debts!$G$8=$Q66),$R66,0)),2))))</f>
      </c>
      <c r="H66" s="49">
        <f>IF(OR(Debts!$B$8="",G65&lt;=0),0,ROUND(G65*Debts!$E$8/12,2))</f>
      </c>
      <c r="I66" s="48">
        <f>IF(Debts!$B$9="","",IF(I65&lt;=0,0,MAX(0,ROUND((I65+J66)-MIN((I65+J66),Debts!$F$9+IF(AND(Debts!$B$9&lt;&gt;"",I65&gt;0,Debts!$G$9=$Q66),$R66,0)),2))))</f>
      </c>
      <c r="J66" s="49">
        <f>IF(OR(Debts!$B$9="",I65&lt;=0),0,ROUND(I65*Debts!$E$9/12,2))</f>
      </c>
      <c r="K66" s="48">
        <f>IF(Debts!$B$10="","",IF(K65&lt;=0,0,MAX(0,ROUND((K65+L66)-MIN((K65+L66),Debts!$F$10+IF(AND(Debts!$B$10&lt;&gt;"",K65&gt;0,Debts!$G$10=$Q66),$R66,0)),2))))</f>
      </c>
      <c r="L66" s="49">
        <f>IF(OR(Debts!$B$10="",K65&lt;=0),0,ROUND(K65*Debts!$E$10/12,2))</f>
      </c>
      <c r="M66" s="48">
        <f>IF(Debts!$B$11="","",IF(M65&lt;=0,0,MAX(0,ROUND((M65+N66)-MIN((M65+N66),Debts!$F$11+IF(AND(Debts!$B$11&lt;&gt;"",M65&gt;0,Debts!$G$11=$Q66),$R66,0)),2))))</f>
      </c>
      <c r="N66" s="49">
        <f>IF(OR(Debts!$B$11="",M65&lt;=0),0,ROUND(M65*Debts!$E$11/12,2))</f>
      </c>
      <c r="O66" s="48">
        <f>SUM(C66,E66,G66,I66,K66,M66)</f>
      </c>
      <c r="P66" s="48">
        <f>P65+SUM(D66,F66,H66,J66,L66,N66)</f>
      </c>
      <c r="Q66">
        <f>MIN(IF(AND(Debts!$B$6&lt;&gt;"",C65&gt;0),Debts!$G$6,999),IF(AND(Debts!$B$7&lt;&gt;"",E65&gt;0),Debts!$G$7,999),IF(AND(Debts!$B$8&lt;&gt;"",G65&gt;0),Debts!$G$8,999),IF(AND(Debts!$B$9&lt;&gt;"",I65&gt;0),Debts!$G$9,999),IF(AND(Debts!$B$10&lt;&gt;"",K65&gt;0),Debts!$G$10,999),IF(AND(Debts!$B$11&lt;&gt;"",M65&gt;0),Debts!$G$11,999))</f>
      </c>
      <c r="R66">
        <f>Setup!$C$8+IF(AND(Debts!$B$6&lt;&gt;"",C65&lt;=0),Debts!$F$6,0)+IF(AND(Debts!$B$7&lt;&gt;"",E65&lt;=0),Debts!$F$7,0)+IF(AND(Debts!$B$8&lt;&gt;"",G65&lt;=0),Debts!$F$8,0)+IF(AND(Debts!$B$9&lt;&gt;"",I65&lt;=0),Debts!$F$9,0)+IF(AND(Debts!$B$10&lt;&gt;"",K65&lt;=0),Debts!$F$10,0)+IF(AND(Debts!$B$11&lt;&gt;"",M65&lt;=0),Debts!$F$11,0)</f>
      </c>
    </row>
    <row r="67" spans="1:18" x14ac:dyDescent="0.25">
      <c r="A67">
        <v>26</v>
      </c>
      <c r="B67" s="47">
        <f>EDATE(Setup!$C$9,25)</f>
      </c>
      <c r="C67" s="48">
        <f>IF(Debts!$B$6="","",IF(C66&lt;=0,0,MAX(0,ROUND((C66+D67)-MIN((C66+D67),Debts!$F$6+IF(AND(Debts!$B$6&lt;&gt;"",C66&gt;0,Debts!$G$6=$Q67),$R67,0)),2))))</f>
      </c>
      <c r="D67" s="49">
        <f>IF(OR(Debts!$B$6="",C66&lt;=0),0,ROUND(C66*Debts!$E$6/12,2))</f>
      </c>
      <c r="E67" s="48">
        <f>IF(Debts!$B$7="","",IF(E66&lt;=0,0,MAX(0,ROUND((E66+F67)-MIN((E66+F67),Debts!$F$7+IF(AND(Debts!$B$7&lt;&gt;"",E66&gt;0,Debts!$G$7=$Q67),$R67,0)),2))))</f>
      </c>
      <c r="F67" s="49">
        <f>IF(OR(Debts!$B$7="",E66&lt;=0),0,ROUND(E66*Debts!$E$7/12,2))</f>
      </c>
      <c r="G67" s="48">
        <f>IF(Debts!$B$8="","",IF(G66&lt;=0,0,MAX(0,ROUND((G66+H67)-MIN((G66+H67),Debts!$F$8+IF(AND(Debts!$B$8&lt;&gt;"",G66&gt;0,Debts!$G$8=$Q67),$R67,0)),2))))</f>
      </c>
      <c r="H67" s="49">
        <f>IF(OR(Debts!$B$8="",G66&lt;=0),0,ROUND(G66*Debts!$E$8/12,2))</f>
      </c>
      <c r="I67" s="48">
        <f>IF(Debts!$B$9="","",IF(I66&lt;=0,0,MAX(0,ROUND((I66+J67)-MIN((I66+J67),Debts!$F$9+IF(AND(Debts!$B$9&lt;&gt;"",I66&gt;0,Debts!$G$9=$Q67),$R67,0)),2))))</f>
      </c>
      <c r="J67" s="49">
        <f>IF(OR(Debts!$B$9="",I66&lt;=0),0,ROUND(I66*Debts!$E$9/12,2))</f>
      </c>
      <c r="K67" s="48">
        <f>IF(Debts!$B$10="","",IF(K66&lt;=0,0,MAX(0,ROUND((K66+L67)-MIN((K66+L67),Debts!$F$10+IF(AND(Debts!$B$10&lt;&gt;"",K66&gt;0,Debts!$G$10=$Q67),$R67,0)),2))))</f>
      </c>
      <c r="L67" s="49">
        <f>IF(OR(Debts!$B$10="",K66&lt;=0),0,ROUND(K66*Debts!$E$10/12,2))</f>
      </c>
      <c r="M67" s="48">
        <f>IF(Debts!$B$11="","",IF(M66&lt;=0,0,MAX(0,ROUND((M66+N67)-MIN((M66+N67),Debts!$F$11+IF(AND(Debts!$B$11&lt;&gt;"",M66&gt;0,Debts!$G$11=$Q67),$R67,0)),2))))</f>
      </c>
      <c r="N67" s="49">
        <f>IF(OR(Debts!$B$11="",M66&lt;=0),0,ROUND(M66*Debts!$E$11/12,2))</f>
      </c>
      <c r="O67" s="48">
        <f>SUM(C67,E67,G67,I67,K67,M67)</f>
      </c>
      <c r="P67" s="48">
        <f>P66+SUM(D67,F67,H67,J67,L67,N67)</f>
      </c>
      <c r="Q67">
        <f>MIN(IF(AND(Debts!$B$6&lt;&gt;"",C66&gt;0),Debts!$G$6,999),IF(AND(Debts!$B$7&lt;&gt;"",E66&gt;0),Debts!$G$7,999),IF(AND(Debts!$B$8&lt;&gt;"",G66&gt;0),Debts!$G$8,999),IF(AND(Debts!$B$9&lt;&gt;"",I66&gt;0),Debts!$G$9,999),IF(AND(Debts!$B$10&lt;&gt;"",K66&gt;0),Debts!$G$10,999),IF(AND(Debts!$B$11&lt;&gt;"",M66&gt;0),Debts!$G$11,999))</f>
      </c>
      <c r="R67">
        <f>Setup!$C$8+IF(AND(Debts!$B$6&lt;&gt;"",C66&lt;=0),Debts!$F$6,0)+IF(AND(Debts!$B$7&lt;&gt;"",E66&lt;=0),Debts!$F$7,0)+IF(AND(Debts!$B$8&lt;&gt;"",G66&lt;=0),Debts!$F$8,0)+IF(AND(Debts!$B$9&lt;&gt;"",I66&lt;=0),Debts!$F$9,0)+IF(AND(Debts!$B$10&lt;&gt;"",K66&lt;=0),Debts!$F$10,0)+IF(AND(Debts!$B$11&lt;&gt;"",M66&lt;=0),Debts!$F$11,0)</f>
      </c>
    </row>
    <row r="68" spans="1:18" x14ac:dyDescent="0.25">
      <c r="A68">
        <v>27</v>
      </c>
      <c r="B68" s="47">
        <f>EDATE(Setup!$C$9,26)</f>
      </c>
      <c r="C68" s="48">
        <f>IF(Debts!$B$6="","",IF(C67&lt;=0,0,MAX(0,ROUND((C67+D68)-MIN((C67+D68),Debts!$F$6+IF(AND(Debts!$B$6&lt;&gt;"",C67&gt;0,Debts!$G$6=$Q68),$R68,0)),2))))</f>
      </c>
      <c r="D68" s="49">
        <f>IF(OR(Debts!$B$6="",C67&lt;=0),0,ROUND(C67*Debts!$E$6/12,2))</f>
      </c>
      <c r="E68" s="48">
        <f>IF(Debts!$B$7="","",IF(E67&lt;=0,0,MAX(0,ROUND((E67+F68)-MIN((E67+F68),Debts!$F$7+IF(AND(Debts!$B$7&lt;&gt;"",E67&gt;0,Debts!$G$7=$Q68),$R68,0)),2))))</f>
      </c>
      <c r="F68" s="49">
        <f>IF(OR(Debts!$B$7="",E67&lt;=0),0,ROUND(E67*Debts!$E$7/12,2))</f>
      </c>
      <c r="G68" s="48">
        <f>IF(Debts!$B$8="","",IF(G67&lt;=0,0,MAX(0,ROUND((G67+H68)-MIN((G67+H68),Debts!$F$8+IF(AND(Debts!$B$8&lt;&gt;"",G67&gt;0,Debts!$G$8=$Q68),$R68,0)),2))))</f>
      </c>
      <c r="H68" s="49">
        <f>IF(OR(Debts!$B$8="",G67&lt;=0),0,ROUND(G67*Debts!$E$8/12,2))</f>
      </c>
      <c r="I68" s="48">
        <f>IF(Debts!$B$9="","",IF(I67&lt;=0,0,MAX(0,ROUND((I67+J68)-MIN((I67+J68),Debts!$F$9+IF(AND(Debts!$B$9&lt;&gt;"",I67&gt;0,Debts!$G$9=$Q68),$R68,0)),2))))</f>
      </c>
      <c r="J68" s="49">
        <f>IF(OR(Debts!$B$9="",I67&lt;=0),0,ROUND(I67*Debts!$E$9/12,2))</f>
      </c>
      <c r="K68" s="48">
        <f>IF(Debts!$B$10="","",IF(K67&lt;=0,0,MAX(0,ROUND((K67+L68)-MIN((K67+L68),Debts!$F$10+IF(AND(Debts!$B$10&lt;&gt;"",K67&gt;0,Debts!$G$10=$Q68),$R68,0)),2))))</f>
      </c>
      <c r="L68" s="49">
        <f>IF(OR(Debts!$B$10="",K67&lt;=0),0,ROUND(K67*Debts!$E$10/12,2))</f>
      </c>
      <c r="M68" s="48">
        <f>IF(Debts!$B$11="","",IF(M67&lt;=0,0,MAX(0,ROUND((M67+N68)-MIN((M67+N68),Debts!$F$11+IF(AND(Debts!$B$11&lt;&gt;"",M67&gt;0,Debts!$G$11=$Q68),$R68,0)),2))))</f>
      </c>
      <c r="N68" s="49">
        <f>IF(OR(Debts!$B$11="",M67&lt;=0),0,ROUND(M67*Debts!$E$11/12,2))</f>
      </c>
      <c r="O68" s="48">
        <f>SUM(C68,E68,G68,I68,K68,M68)</f>
      </c>
      <c r="P68" s="48">
        <f>P67+SUM(D68,F68,H68,J68,L68,N68)</f>
      </c>
      <c r="Q68">
        <f>MIN(IF(AND(Debts!$B$6&lt;&gt;"",C67&gt;0),Debts!$G$6,999),IF(AND(Debts!$B$7&lt;&gt;"",E67&gt;0),Debts!$G$7,999),IF(AND(Debts!$B$8&lt;&gt;"",G67&gt;0),Debts!$G$8,999),IF(AND(Debts!$B$9&lt;&gt;"",I67&gt;0),Debts!$G$9,999),IF(AND(Debts!$B$10&lt;&gt;"",K67&gt;0),Debts!$G$10,999),IF(AND(Debts!$B$11&lt;&gt;"",M67&gt;0),Debts!$G$11,999))</f>
      </c>
      <c r="R68">
        <f>Setup!$C$8+IF(AND(Debts!$B$6&lt;&gt;"",C67&lt;=0),Debts!$F$6,0)+IF(AND(Debts!$B$7&lt;&gt;"",E67&lt;=0),Debts!$F$7,0)+IF(AND(Debts!$B$8&lt;&gt;"",G67&lt;=0),Debts!$F$8,0)+IF(AND(Debts!$B$9&lt;&gt;"",I67&lt;=0),Debts!$F$9,0)+IF(AND(Debts!$B$10&lt;&gt;"",K67&lt;=0),Debts!$F$10,0)+IF(AND(Debts!$B$11&lt;&gt;"",M67&lt;=0),Debts!$F$11,0)</f>
      </c>
    </row>
    <row r="69" spans="1:18" x14ac:dyDescent="0.25">
      <c r="A69">
        <v>28</v>
      </c>
      <c r="B69" s="47">
        <f>EDATE(Setup!$C$9,27)</f>
      </c>
      <c r="C69" s="48">
        <f>IF(Debts!$B$6="","",IF(C68&lt;=0,0,MAX(0,ROUND((C68+D69)-MIN((C68+D69),Debts!$F$6+IF(AND(Debts!$B$6&lt;&gt;"",C68&gt;0,Debts!$G$6=$Q69),$R69,0)),2))))</f>
      </c>
      <c r="D69" s="49">
        <f>IF(OR(Debts!$B$6="",C68&lt;=0),0,ROUND(C68*Debts!$E$6/12,2))</f>
      </c>
      <c r="E69" s="48">
        <f>IF(Debts!$B$7="","",IF(E68&lt;=0,0,MAX(0,ROUND((E68+F69)-MIN((E68+F69),Debts!$F$7+IF(AND(Debts!$B$7&lt;&gt;"",E68&gt;0,Debts!$G$7=$Q69),$R69,0)),2))))</f>
      </c>
      <c r="F69" s="49">
        <f>IF(OR(Debts!$B$7="",E68&lt;=0),0,ROUND(E68*Debts!$E$7/12,2))</f>
      </c>
      <c r="G69" s="48">
        <f>IF(Debts!$B$8="","",IF(G68&lt;=0,0,MAX(0,ROUND((G68+H69)-MIN((G68+H69),Debts!$F$8+IF(AND(Debts!$B$8&lt;&gt;"",G68&gt;0,Debts!$G$8=$Q69),$R69,0)),2))))</f>
      </c>
      <c r="H69" s="49">
        <f>IF(OR(Debts!$B$8="",G68&lt;=0),0,ROUND(G68*Debts!$E$8/12,2))</f>
      </c>
      <c r="I69" s="48">
        <f>IF(Debts!$B$9="","",IF(I68&lt;=0,0,MAX(0,ROUND((I68+J69)-MIN((I68+J69),Debts!$F$9+IF(AND(Debts!$B$9&lt;&gt;"",I68&gt;0,Debts!$G$9=$Q69),$R69,0)),2))))</f>
      </c>
      <c r="J69" s="49">
        <f>IF(OR(Debts!$B$9="",I68&lt;=0),0,ROUND(I68*Debts!$E$9/12,2))</f>
      </c>
      <c r="K69" s="48">
        <f>IF(Debts!$B$10="","",IF(K68&lt;=0,0,MAX(0,ROUND((K68+L69)-MIN((K68+L69),Debts!$F$10+IF(AND(Debts!$B$10&lt;&gt;"",K68&gt;0,Debts!$G$10=$Q69),$R69,0)),2))))</f>
      </c>
      <c r="L69" s="49">
        <f>IF(OR(Debts!$B$10="",K68&lt;=0),0,ROUND(K68*Debts!$E$10/12,2))</f>
      </c>
      <c r="M69" s="48">
        <f>IF(Debts!$B$11="","",IF(M68&lt;=0,0,MAX(0,ROUND((M68+N69)-MIN((M68+N69),Debts!$F$11+IF(AND(Debts!$B$11&lt;&gt;"",M68&gt;0,Debts!$G$11=$Q69),$R69,0)),2))))</f>
      </c>
      <c r="N69" s="49">
        <f>IF(OR(Debts!$B$11="",M68&lt;=0),0,ROUND(M68*Debts!$E$11/12,2))</f>
      </c>
      <c r="O69" s="48">
        <f>SUM(C69,E69,G69,I69,K69,M69)</f>
      </c>
      <c r="P69" s="48">
        <f>P68+SUM(D69,F69,H69,J69,L69,N69)</f>
      </c>
      <c r="Q69">
        <f>MIN(IF(AND(Debts!$B$6&lt;&gt;"",C68&gt;0),Debts!$G$6,999),IF(AND(Debts!$B$7&lt;&gt;"",E68&gt;0),Debts!$G$7,999),IF(AND(Debts!$B$8&lt;&gt;"",G68&gt;0),Debts!$G$8,999),IF(AND(Debts!$B$9&lt;&gt;"",I68&gt;0),Debts!$G$9,999),IF(AND(Debts!$B$10&lt;&gt;"",K68&gt;0),Debts!$G$10,999),IF(AND(Debts!$B$11&lt;&gt;"",M68&gt;0),Debts!$G$11,999))</f>
      </c>
      <c r="R69">
        <f>Setup!$C$8+IF(AND(Debts!$B$6&lt;&gt;"",C68&lt;=0),Debts!$F$6,0)+IF(AND(Debts!$B$7&lt;&gt;"",E68&lt;=0),Debts!$F$7,0)+IF(AND(Debts!$B$8&lt;&gt;"",G68&lt;=0),Debts!$F$8,0)+IF(AND(Debts!$B$9&lt;&gt;"",I68&lt;=0),Debts!$F$9,0)+IF(AND(Debts!$B$10&lt;&gt;"",K68&lt;=0),Debts!$F$10,0)+IF(AND(Debts!$B$11&lt;&gt;"",M68&lt;=0),Debts!$F$11,0)</f>
      </c>
    </row>
    <row r="70" spans="1:18" x14ac:dyDescent="0.25">
      <c r="A70">
        <v>29</v>
      </c>
      <c r="B70" s="47">
        <f>EDATE(Setup!$C$9,28)</f>
      </c>
      <c r="C70" s="48">
        <f>IF(Debts!$B$6="","",IF(C69&lt;=0,0,MAX(0,ROUND((C69+D70)-MIN((C69+D70),Debts!$F$6+IF(AND(Debts!$B$6&lt;&gt;"",C69&gt;0,Debts!$G$6=$Q70),$R70,0)),2))))</f>
      </c>
      <c r="D70" s="49">
        <f>IF(OR(Debts!$B$6="",C69&lt;=0),0,ROUND(C69*Debts!$E$6/12,2))</f>
      </c>
      <c r="E70" s="48">
        <f>IF(Debts!$B$7="","",IF(E69&lt;=0,0,MAX(0,ROUND((E69+F70)-MIN((E69+F70),Debts!$F$7+IF(AND(Debts!$B$7&lt;&gt;"",E69&gt;0,Debts!$G$7=$Q70),$R70,0)),2))))</f>
      </c>
      <c r="F70" s="49">
        <f>IF(OR(Debts!$B$7="",E69&lt;=0),0,ROUND(E69*Debts!$E$7/12,2))</f>
      </c>
      <c r="G70" s="48">
        <f>IF(Debts!$B$8="","",IF(G69&lt;=0,0,MAX(0,ROUND((G69+H70)-MIN((G69+H70),Debts!$F$8+IF(AND(Debts!$B$8&lt;&gt;"",G69&gt;0,Debts!$G$8=$Q70),$R70,0)),2))))</f>
      </c>
      <c r="H70" s="49">
        <f>IF(OR(Debts!$B$8="",G69&lt;=0),0,ROUND(G69*Debts!$E$8/12,2))</f>
      </c>
      <c r="I70" s="48">
        <f>IF(Debts!$B$9="","",IF(I69&lt;=0,0,MAX(0,ROUND((I69+J70)-MIN((I69+J70),Debts!$F$9+IF(AND(Debts!$B$9&lt;&gt;"",I69&gt;0,Debts!$G$9=$Q70),$R70,0)),2))))</f>
      </c>
      <c r="J70" s="49">
        <f>IF(OR(Debts!$B$9="",I69&lt;=0),0,ROUND(I69*Debts!$E$9/12,2))</f>
      </c>
      <c r="K70" s="48">
        <f>IF(Debts!$B$10="","",IF(K69&lt;=0,0,MAX(0,ROUND((K69+L70)-MIN((K69+L70),Debts!$F$10+IF(AND(Debts!$B$10&lt;&gt;"",K69&gt;0,Debts!$G$10=$Q70),$R70,0)),2))))</f>
      </c>
      <c r="L70" s="49">
        <f>IF(OR(Debts!$B$10="",K69&lt;=0),0,ROUND(K69*Debts!$E$10/12,2))</f>
      </c>
      <c r="M70" s="48">
        <f>IF(Debts!$B$11="","",IF(M69&lt;=0,0,MAX(0,ROUND((M69+N70)-MIN((M69+N70),Debts!$F$11+IF(AND(Debts!$B$11&lt;&gt;"",M69&gt;0,Debts!$G$11=$Q70),$R70,0)),2))))</f>
      </c>
      <c r="N70" s="49">
        <f>IF(OR(Debts!$B$11="",M69&lt;=0),0,ROUND(M69*Debts!$E$11/12,2))</f>
      </c>
      <c r="O70" s="48">
        <f>SUM(C70,E70,G70,I70,K70,M70)</f>
      </c>
      <c r="P70" s="48">
        <f>P69+SUM(D70,F70,H70,J70,L70,N70)</f>
      </c>
      <c r="Q70">
        <f>MIN(IF(AND(Debts!$B$6&lt;&gt;"",C69&gt;0),Debts!$G$6,999),IF(AND(Debts!$B$7&lt;&gt;"",E69&gt;0),Debts!$G$7,999),IF(AND(Debts!$B$8&lt;&gt;"",G69&gt;0),Debts!$G$8,999),IF(AND(Debts!$B$9&lt;&gt;"",I69&gt;0),Debts!$G$9,999),IF(AND(Debts!$B$10&lt;&gt;"",K69&gt;0),Debts!$G$10,999),IF(AND(Debts!$B$11&lt;&gt;"",M69&gt;0),Debts!$G$11,999))</f>
      </c>
      <c r="R70">
        <f>Setup!$C$8+IF(AND(Debts!$B$6&lt;&gt;"",C69&lt;=0),Debts!$F$6,0)+IF(AND(Debts!$B$7&lt;&gt;"",E69&lt;=0),Debts!$F$7,0)+IF(AND(Debts!$B$8&lt;&gt;"",G69&lt;=0),Debts!$F$8,0)+IF(AND(Debts!$B$9&lt;&gt;"",I69&lt;=0),Debts!$F$9,0)+IF(AND(Debts!$B$10&lt;&gt;"",K69&lt;=0),Debts!$F$10,0)+IF(AND(Debts!$B$11&lt;&gt;"",M69&lt;=0),Debts!$F$11,0)</f>
      </c>
    </row>
    <row r="71" spans="1:18" x14ac:dyDescent="0.25">
      <c r="A71">
        <v>30</v>
      </c>
      <c r="B71" s="47">
        <f>EDATE(Setup!$C$9,29)</f>
      </c>
      <c r="C71" s="48">
        <f>IF(Debts!$B$6="","",IF(C70&lt;=0,0,MAX(0,ROUND((C70+D71)-MIN((C70+D71),Debts!$F$6+IF(AND(Debts!$B$6&lt;&gt;"",C70&gt;0,Debts!$G$6=$Q71),$R71,0)),2))))</f>
      </c>
      <c r="D71" s="49">
        <f>IF(OR(Debts!$B$6="",C70&lt;=0),0,ROUND(C70*Debts!$E$6/12,2))</f>
      </c>
      <c r="E71" s="48">
        <f>IF(Debts!$B$7="","",IF(E70&lt;=0,0,MAX(0,ROUND((E70+F71)-MIN((E70+F71),Debts!$F$7+IF(AND(Debts!$B$7&lt;&gt;"",E70&gt;0,Debts!$G$7=$Q71),$R71,0)),2))))</f>
      </c>
      <c r="F71" s="49">
        <f>IF(OR(Debts!$B$7="",E70&lt;=0),0,ROUND(E70*Debts!$E$7/12,2))</f>
      </c>
      <c r="G71" s="48">
        <f>IF(Debts!$B$8="","",IF(G70&lt;=0,0,MAX(0,ROUND((G70+H71)-MIN((G70+H71),Debts!$F$8+IF(AND(Debts!$B$8&lt;&gt;"",G70&gt;0,Debts!$G$8=$Q71),$R71,0)),2))))</f>
      </c>
      <c r="H71" s="49">
        <f>IF(OR(Debts!$B$8="",G70&lt;=0),0,ROUND(G70*Debts!$E$8/12,2))</f>
      </c>
      <c r="I71" s="48">
        <f>IF(Debts!$B$9="","",IF(I70&lt;=0,0,MAX(0,ROUND((I70+J71)-MIN((I70+J71),Debts!$F$9+IF(AND(Debts!$B$9&lt;&gt;"",I70&gt;0,Debts!$G$9=$Q71),$R71,0)),2))))</f>
      </c>
      <c r="J71" s="49">
        <f>IF(OR(Debts!$B$9="",I70&lt;=0),0,ROUND(I70*Debts!$E$9/12,2))</f>
      </c>
      <c r="K71" s="48">
        <f>IF(Debts!$B$10="","",IF(K70&lt;=0,0,MAX(0,ROUND((K70+L71)-MIN((K70+L71),Debts!$F$10+IF(AND(Debts!$B$10&lt;&gt;"",K70&gt;0,Debts!$G$10=$Q71),$R71,0)),2))))</f>
      </c>
      <c r="L71" s="49">
        <f>IF(OR(Debts!$B$10="",K70&lt;=0),0,ROUND(K70*Debts!$E$10/12,2))</f>
      </c>
      <c r="M71" s="48">
        <f>IF(Debts!$B$11="","",IF(M70&lt;=0,0,MAX(0,ROUND((M70+N71)-MIN((M70+N71),Debts!$F$11+IF(AND(Debts!$B$11&lt;&gt;"",M70&gt;0,Debts!$G$11=$Q71),$R71,0)),2))))</f>
      </c>
      <c r="N71" s="49">
        <f>IF(OR(Debts!$B$11="",M70&lt;=0),0,ROUND(M70*Debts!$E$11/12,2))</f>
      </c>
      <c r="O71" s="48">
        <f>SUM(C71,E71,G71,I71,K71,M71)</f>
      </c>
      <c r="P71" s="48">
        <f>P70+SUM(D71,F71,H71,J71,L71,N71)</f>
      </c>
      <c r="Q71">
        <f>MIN(IF(AND(Debts!$B$6&lt;&gt;"",C70&gt;0),Debts!$G$6,999),IF(AND(Debts!$B$7&lt;&gt;"",E70&gt;0),Debts!$G$7,999),IF(AND(Debts!$B$8&lt;&gt;"",G70&gt;0),Debts!$G$8,999),IF(AND(Debts!$B$9&lt;&gt;"",I70&gt;0),Debts!$G$9,999),IF(AND(Debts!$B$10&lt;&gt;"",K70&gt;0),Debts!$G$10,999),IF(AND(Debts!$B$11&lt;&gt;"",M70&gt;0),Debts!$G$11,999))</f>
      </c>
      <c r="R71">
        <f>Setup!$C$8+IF(AND(Debts!$B$6&lt;&gt;"",C70&lt;=0),Debts!$F$6,0)+IF(AND(Debts!$B$7&lt;&gt;"",E70&lt;=0),Debts!$F$7,0)+IF(AND(Debts!$B$8&lt;&gt;"",G70&lt;=0),Debts!$F$8,0)+IF(AND(Debts!$B$9&lt;&gt;"",I70&lt;=0),Debts!$F$9,0)+IF(AND(Debts!$B$10&lt;&gt;"",K70&lt;=0),Debts!$F$10,0)+IF(AND(Debts!$B$11&lt;&gt;"",M70&lt;=0),Debts!$F$11,0)</f>
      </c>
    </row>
    <row r="72" spans="1:18" x14ac:dyDescent="0.25">
      <c r="A72">
        <v>31</v>
      </c>
      <c r="B72" s="47">
        <f>EDATE(Setup!$C$9,30)</f>
      </c>
      <c r="C72" s="48">
        <f>IF(Debts!$B$6="","",IF(C71&lt;=0,0,MAX(0,ROUND((C71+D72)-MIN((C71+D72),Debts!$F$6+IF(AND(Debts!$B$6&lt;&gt;"",C71&gt;0,Debts!$G$6=$Q72),$R72,0)),2))))</f>
      </c>
      <c r="D72" s="49">
        <f>IF(OR(Debts!$B$6="",C71&lt;=0),0,ROUND(C71*Debts!$E$6/12,2))</f>
      </c>
      <c r="E72" s="48">
        <f>IF(Debts!$B$7="","",IF(E71&lt;=0,0,MAX(0,ROUND((E71+F72)-MIN((E71+F72),Debts!$F$7+IF(AND(Debts!$B$7&lt;&gt;"",E71&gt;0,Debts!$G$7=$Q72),$R72,0)),2))))</f>
      </c>
      <c r="F72" s="49">
        <f>IF(OR(Debts!$B$7="",E71&lt;=0),0,ROUND(E71*Debts!$E$7/12,2))</f>
      </c>
      <c r="G72" s="48">
        <f>IF(Debts!$B$8="","",IF(G71&lt;=0,0,MAX(0,ROUND((G71+H72)-MIN((G71+H72),Debts!$F$8+IF(AND(Debts!$B$8&lt;&gt;"",G71&gt;0,Debts!$G$8=$Q72),$R72,0)),2))))</f>
      </c>
      <c r="H72" s="49">
        <f>IF(OR(Debts!$B$8="",G71&lt;=0),0,ROUND(G71*Debts!$E$8/12,2))</f>
      </c>
      <c r="I72" s="48">
        <f>IF(Debts!$B$9="","",IF(I71&lt;=0,0,MAX(0,ROUND((I71+J72)-MIN((I71+J72),Debts!$F$9+IF(AND(Debts!$B$9&lt;&gt;"",I71&gt;0,Debts!$G$9=$Q72),$R72,0)),2))))</f>
      </c>
      <c r="J72" s="49">
        <f>IF(OR(Debts!$B$9="",I71&lt;=0),0,ROUND(I71*Debts!$E$9/12,2))</f>
      </c>
      <c r="K72" s="48">
        <f>IF(Debts!$B$10="","",IF(K71&lt;=0,0,MAX(0,ROUND((K71+L72)-MIN((K71+L72),Debts!$F$10+IF(AND(Debts!$B$10&lt;&gt;"",K71&gt;0,Debts!$G$10=$Q72),$R72,0)),2))))</f>
      </c>
      <c r="L72" s="49">
        <f>IF(OR(Debts!$B$10="",K71&lt;=0),0,ROUND(K71*Debts!$E$10/12,2))</f>
      </c>
      <c r="M72" s="48">
        <f>IF(Debts!$B$11="","",IF(M71&lt;=0,0,MAX(0,ROUND((M71+N72)-MIN((M71+N72),Debts!$F$11+IF(AND(Debts!$B$11&lt;&gt;"",M71&gt;0,Debts!$G$11=$Q72),$R72,0)),2))))</f>
      </c>
      <c r="N72" s="49">
        <f>IF(OR(Debts!$B$11="",M71&lt;=0),0,ROUND(M71*Debts!$E$11/12,2))</f>
      </c>
      <c r="O72" s="48">
        <f>SUM(C72,E72,G72,I72,K72,M72)</f>
      </c>
      <c r="P72" s="48">
        <f>P71+SUM(D72,F72,H72,J72,L72,N72)</f>
      </c>
      <c r="Q72">
        <f>MIN(IF(AND(Debts!$B$6&lt;&gt;"",C71&gt;0),Debts!$G$6,999),IF(AND(Debts!$B$7&lt;&gt;"",E71&gt;0),Debts!$G$7,999),IF(AND(Debts!$B$8&lt;&gt;"",G71&gt;0),Debts!$G$8,999),IF(AND(Debts!$B$9&lt;&gt;"",I71&gt;0),Debts!$G$9,999),IF(AND(Debts!$B$10&lt;&gt;"",K71&gt;0),Debts!$G$10,999),IF(AND(Debts!$B$11&lt;&gt;"",M71&gt;0),Debts!$G$11,999))</f>
      </c>
      <c r="R72">
        <f>Setup!$C$8+IF(AND(Debts!$B$6&lt;&gt;"",C71&lt;=0),Debts!$F$6,0)+IF(AND(Debts!$B$7&lt;&gt;"",E71&lt;=0),Debts!$F$7,0)+IF(AND(Debts!$B$8&lt;&gt;"",G71&lt;=0),Debts!$F$8,0)+IF(AND(Debts!$B$9&lt;&gt;"",I71&lt;=0),Debts!$F$9,0)+IF(AND(Debts!$B$10&lt;&gt;"",K71&lt;=0),Debts!$F$10,0)+IF(AND(Debts!$B$11&lt;&gt;"",M71&lt;=0),Debts!$F$11,0)</f>
      </c>
    </row>
    <row r="73" spans="1:18" x14ac:dyDescent="0.25">
      <c r="A73">
        <v>32</v>
      </c>
      <c r="B73" s="47">
        <f>EDATE(Setup!$C$9,31)</f>
      </c>
      <c r="C73" s="48">
        <f>IF(Debts!$B$6="","",IF(C72&lt;=0,0,MAX(0,ROUND((C72+D73)-MIN((C72+D73),Debts!$F$6+IF(AND(Debts!$B$6&lt;&gt;"",C72&gt;0,Debts!$G$6=$Q73),$R73,0)),2))))</f>
      </c>
      <c r="D73" s="49">
        <f>IF(OR(Debts!$B$6="",C72&lt;=0),0,ROUND(C72*Debts!$E$6/12,2))</f>
      </c>
      <c r="E73" s="48">
        <f>IF(Debts!$B$7="","",IF(E72&lt;=0,0,MAX(0,ROUND((E72+F73)-MIN((E72+F73),Debts!$F$7+IF(AND(Debts!$B$7&lt;&gt;"",E72&gt;0,Debts!$G$7=$Q73),$R73,0)),2))))</f>
      </c>
      <c r="F73" s="49">
        <f>IF(OR(Debts!$B$7="",E72&lt;=0),0,ROUND(E72*Debts!$E$7/12,2))</f>
      </c>
      <c r="G73" s="48">
        <f>IF(Debts!$B$8="","",IF(G72&lt;=0,0,MAX(0,ROUND((G72+H73)-MIN((G72+H73),Debts!$F$8+IF(AND(Debts!$B$8&lt;&gt;"",G72&gt;0,Debts!$G$8=$Q73),$R73,0)),2))))</f>
      </c>
      <c r="H73" s="49">
        <f>IF(OR(Debts!$B$8="",G72&lt;=0),0,ROUND(G72*Debts!$E$8/12,2))</f>
      </c>
      <c r="I73" s="48">
        <f>IF(Debts!$B$9="","",IF(I72&lt;=0,0,MAX(0,ROUND((I72+J73)-MIN((I72+J73),Debts!$F$9+IF(AND(Debts!$B$9&lt;&gt;"",I72&gt;0,Debts!$G$9=$Q73),$R73,0)),2))))</f>
      </c>
      <c r="J73" s="49">
        <f>IF(OR(Debts!$B$9="",I72&lt;=0),0,ROUND(I72*Debts!$E$9/12,2))</f>
      </c>
      <c r="K73" s="48">
        <f>IF(Debts!$B$10="","",IF(K72&lt;=0,0,MAX(0,ROUND((K72+L73)-MIN((K72+L73),Debts!$F$10+IF(AND(Debts!$B$10&lt;&gt;"",K72&gt;0,Debts!$G$10=$Q73),$R73,0)),2))))</f>
      </c>
      <c r="L73" s="49">
        <f>IF(OR(Debts!$B$10="",K72&lt;=0),0,ROUND(K72*Debts!$E$10/12,2))</f>
      </c>
      <c r="M73" s="48">
        <f>IF(Debts!$B$11="","",IF(M72&lt;=0,0,MAX(0,ROUND((M72+N73)-MIN((M72+N73),Debts!$F$11+IF(AND(Debts!$B$11&lt;&gt;"",M72&gt;0,Debts!$G$11=$Q73),$R73,0)),2))))</f>
      </c>
      <c r="N73" s="49">
        <f>IF(OR(Debts!$B$11="",M72&lt;=0),0,ROUND(M72*Debts!$E$11/12,2))</f>
      </c>
      <c r="O73" s="48">
        <f>SUM(C73,E73,G73,I73,K73,M73)</f>
      </c>
      <c r="P73" s="48">
        <f>P72+SUM(D73,F73,H73,J73,L73,N73)</f>
      </c>
      <c r="Q73">
        <f>MIN(IF(AND(Debts!$B$6&lt;&gt;"",C72&gt;0),Debts!$G$6,999),IF(AND(Debts!$B$7&lt;&gt;"",E72&gt;0),Debts!$G$7,999),IF(AND(Debts!$B$8&lt;&gt;"",G72&gt;0),Debts!$G$8,999),IF(AND(Debts!$B$9&lt;&gt;"",I72&gt;0),Debts!$G$9,999),IF(AND(Debts!$B$10&lt;&gt;"",K72&gt;0),Debts!$G$10,999),IF(AND(Debts!$B$11&lt;&gt;"",M72&gt;0),Debts!$G$11,999))</f>
      </c>
      <c r="R73">
        <f>Setup!$C$8+IF(AND(Debts!$B$6&lt;&gt;"",C72&lt;=0),Debts!$F$6,0)+IF(AND(Debts!$B$7&lt;&gt;"",E72&lt;=0),Debts!$F$7,0)+IF(AND(Debts!$B$8&lt;&gt;"",G72&lt;=0),Debts!$F$8,0)+IF(AND(Debts!$B$9&lt;&gt;"",I72&lt;=0),Debts!$F$9,0)+IF(AND(Debts!$B$10&lt;&gt;"",K72&lt;=0),Debts!$F$10,0)+IF(AND(Debts!$B$11&lt;&gt;"",M72&lt;=0),Debts!$F$11,0)</f>
      </c>
    </row>
    <row r="74" spans="1:18" x14ac:dyDescent="0.25">
      <c r="A74">
        <v>33</v>
      </c>
      <c r="B74" s="47">
        <f>EDATE(Setup!$C$9,32)</f>
      </c>
      <c r="C74" s="48">
        <f>IF(Debts!$B$6="","",IF(C73&lt;=0,0,MAX(0,ROUND((C73+D74)-MIN((C73+D74),Debts!$F$6+IF(AND(Debts!$B$6&lt;&gt;"",C73&gt;0,Debts!$G$6=$Q74),$R74,0)),2))))</f>
      </c>
      <c r="D74" s="49">
        <f>IF(OR(Debts!$B$6="",C73&lt;=0),0,ROUND(C73*Debts!$E$6/12,2))</f>
      </c>
      <c r="E74" s="48">
        <f>IF(Debts!$B$7="","",IF(E73&lt;=0,0,MAX(0,ROUND((E73+F74)-MIN((E73+F74),Debts!$F$7+IF(AND(Debts!$B$7&lt;&gt;"",E73&gt;0,Debts!$G$7=$Q74),$R74,0)),2))))</f>
      </c>
      <c r="F74" s="49">
        <f>IF(OR(Debts!$B$7="",E73&lt;=0),0,ROUND(E73*Debts!$E$7/12,2))</f>
      </c>
      <c r="G74" s="48">
        <f>IF(Debts!$B$8="","",IF(G73&lt;=0,0,MAX(0,ROUND((G73+H74)-MIN((G73+H74),Debts!$F$8+IF(AND(Debts!$B$8&lt;&gt;"",G73&gt;0,Debts!$G$8=$Q74),$R74,0)),2))))</f>
      </c>
      <c r="H74" s="49">
        <f>IF(OR(Debts!$B$8="",G73&lt;=0),0,ROUND(G73*Debts!$E$8/12,2))</f>
      </c>
      <c r="I74" s="48">
        <f>IF(Debts!$B$9="","",IF(I73&lt;=0,0,MAX(0,ROUND((I73+J74)-MIN((I73+J74),Debts!$F$9+IF(AND(Debts!$B$9&lt;&gt;"",I73&gt;0,Debts!$G$9=$Q74),$R74,0)),2))))</f>
      </c>
      <c r="J74" s="49">
        <f>IF(OR(Debts!$B$9="",I73&lt;=0),0,ROUND(I73*Debts!$E$9/12,2))</f>
      </c>
      <c r="K74" s="48">
        <f>IF(Debts!$B$10="","",IF(K73&lt;=0,0,MAX(0,ROUND((K73+L74)-MIN((K73+L74),Debts!$F$10+IF(AND(Debts!$B$10&lt;&gt;"",K73&gt;0,Debts!$G$10=$Q74),$R74,0)),2))))</f>
      </c>
      <c r="L74" s="49">
        <f>IF(OR(Debts!$B$10="",K73&lt;=0),0,ROUND(K73*Debts!$E$10/12,2))</f>
      </c>
      <c r="M74" s="48">
        <f>IF(Debts!$B$11="","",IF(M73&lt;=0,0,MAX(0,ROUND((M73+N74)-MIN((M73+N74),Debts!$F$11+IF(AND(Debts!$B$11&lt;&gt;"",M73&gt;0,Debts!$G$11=$Q74),$R74,0)),2))))</f>
      </c>
      <c r="N74" s="49">
        <f>IF(OR(Debts!$B$11="",M73&lt;=0),0,ROUND(M73*Debts!$E$11/12,2))</f>
      </c>
      <c r="O74" s="48">
        <f>SUM(C74,E74,G74,I74,K74,M74)</f>
      </c>
      <c r="P74" s="48">
        <f>P73+SUM(D74,F74,H74,J74,L74,N74)</f>
      </c>
      <c r="Q74">
        <f>MIN(IF(AND(Debts!$B$6&lt;&gt;"",C73&gt;0),Debts!$G$6,999),IF(AND(Debts!$B$7&lt;&gt;"",E73&gt;0),Debts!$G$7,999),IF(AND(Debts!$B$8&lt;&gt;"",G73&gt;0),Debts!$G$8,999),IF(AND(Debts!$B$9&lt;&gt;"",I73&gt;0),Debts!$G$9,999),IF(AND(Debts!$B$10&lt;&gt;"",K73&gt;0),Debts!$G$10,999),IF(AND(Debts!$B$11&lt;&gt;"",M73&gt;0),Debts!$G$11,999))</f>
      </c>
      <c r="R74">
        <f>Setup!$C$8+IF(AND(Debts!$B$6&lt;&gt;"",C73&lt;=0),Debts!$F$6,0)+IF(AND(Debts!$B$7&lt;&gt;"",E73&lt;=0),Debts!$F$7,0)+IF(AND(Debts!$B$8&lt;&gt;"",G73&lt;=0),Debts!$F$8,0)+IF(AND(Debts!$B$9&lt;&gt;"",I73&lt;=0),Debts!$F$9,0)+IF(AND(Debts!$B$10&lt;&gt;"",K73&lt;=0),Debts!$F$10,0)+IF(AND(Debts!$B$11&lt;&gt;"",M73&lt;=0),Debts!$F$11,0)</f>
      </c>
    </row>
    <row r="75" spans="1:18" x14ac:dyDescent="0.25">
      <c r="A75">
        <v>34</v>
      </c>
      <c r="B75" s="47">
        <f>EDATE(Setup!$C$9,33)</f>
      </c>
      <c r="C75" s="48">
        <f>IF(Debts!$B$6="","",IF(C74&lt;=0,0,MAX(0,ROUND((C74+D75)-MIN((C74+D75),Debts!$F$6+IF(AND(Debts!$B$6&lt;&gt;"",C74&gt;0,Debts!$G$6=$Q75),$R75,0)),2))))</f>
      </c>
      <c r="D75" s="49">
        <f>IF(OR(Debts!$B$6="",C74&lt;=0),0,ROUND(C74*Debts!$E$6/12,2))</f>
      </c>
      <c r="E75" s="48">
        <f>IF(Debts!$B$7="","",IF(E74&lt;=0,0,MAX(0,ROUND((E74+F75)-MIN((E74+F75),Debts!$F$7+IF(AND(Debts!$B$7&lt;&gt;"",E74&gt;0,Debts!$G$7=$Q75),$R75,0)),2))))</f>
      </c>
      <c r="F75" s="49">
        <f>IF(OR(Debts!$B$7="",E74&lt;=0),0,ROUND(E74*Debts!$E$7/12,2))</f>
      </c>
      <c r="G75" s="48">
        <f>IF(Debts!$B$8="","",IF(G74&lt;=0,0,MAX(0,ROUND((G74+H75)-MIN((G74+H75),Debts!$F$8+IF(AND(Debts!$B$8&lt;&gt;"",G74&gt;0,Debts!$G$8=$Q75),$R75,0)),2))))</f>
      </c>
      <c r="H75" s="49">
        <f>IF(OR(Debts!$B$8="",G74&lt;=0),0,ROUND(G74*Debts!$E$8/12,2))</f>
      </c>
      <c r="I75" s="48">
        <f>IF(Debts!$B$9="","",IF(I74&lt;=0,0,MAX(0,ROUND((I74+J75)-MIN((I74+J75),Debts!$F$9+IF(AND(Debts!$B$9&lt;&gt;"",I74&gt;0,Debts!$G$9=$Q75),$R75,0)),2))))</f>
      </c>
      <c r="J75" s="49">
        <f>IF(OR(Debts!$B$9="",I74&lt;=0),0,ROUND(I74*Debts!$E$9/12,2))</f>
      </c>
      <c r="K75" s="48">
        <f>IF(Debts!$B$10="","",IF(K74&lt;=0,0,MAX(0,ROUND((K74+L75)-MIN((K74+L75),Debts!$F$10+IF(AND(Debts!$B$10&lt;&gt;"",K74&gt;0,Debts!$G$10=$Q75),$R75,0)),2))))</f>
      </c>
      <c r="L75" s="49">
        <f>IF(OR(Debts!$B$10="",K74&lt;=0),0,ROUND(K74*Debts!$E$10/12,2))</f>
      </c>
      <c r="M75" s="48">
        <f>IF(Debts!$B$11="","",IF(M74&lt;=0,0,MAX(0,ROUND((M74+N75)-MIN((M74+N75),Debts!$F$11+IF(AND(Debts!$B$11&lt;&gt;"",M74&gt;0,Debts!$G$11=$Q75),$R75,0)),2))))</f>
      </c>
      <c r="N75" s="49">
        <f>IF(OR(Debts!$B$11="",M74&lt;=0),0,ROUND(M74*Debts!$E$11/12,2))</f>
      </c>
      <c r="O75" s="48">
        <f>SUM(C75,E75,G75,I75,K75,M75)</f>
      </c>
      <c r="P75" s="48">
        <f>P74+SUM(D75,F75,H75,J75,L75,N75)</f>
      </c>
      <c r="Q75">
        <f>MIN(IF(AND(Debts!$B$6&lt;&gt;"",C74&gt;0),Debts!$G$6,999),IF(AND(Debts!$B$7&lt;&gt;"",E74&gt;0),Debts!$G$7,999),IF(AND(Debts!$B$8&lt;&gt;"",G74&gt;0),Debts!$G$8,999),IF(AND(Debts!$B$9&lt;&gt;"",I74&gt;0),Debts!$G$9,999),IF(AND(Debts!$B$10&lt;&gt;"",K74&gt;0),Debts!$G$10,999),IF(AND(Debts!$B$11&lt;&gt;"",M74&gt;0),Debts!$G$11,999))</f>
      </c>
      <c r="R75">
        <f>Setup!$C$8+IF(AND(Debts!$B$6&lt;&gt;"",C74&lt;=0),Debts!$F$6,0)+IF(AND(Debts!$B$7&lt;&gt;"",E74&lt;=0),Debts!$F$7,0)+IF(AND(Debts!$B$8&lt;&gt;"",G74&lt;=0),Debts!$F$8,0)+IF(AND(Debts!$B$9&lt;&gt;"",I74&lt;=0),Debts!$F$9,0)+IF(AND(Debts!$B$10&lt;&gt;"",K74&lt;=0),Debts!$F$10,0)+IF(AND(Debts!$B$11&lt;&gt;"",M74&lt;=0),Debts!$F$11,0)</f>
      </c>
    </row>
    <row r="76" spans="1:18" x14ac:dyDescent="0.25">
      <c r="A76">
        <v>35</v>
      </c>
      <c r="B76" s="47">
        <f>EDATE(Setup!$C$9,34)</f>
      </c>
      <c r="C76" s="48">
        <f>IF(Debts!$B$6="","",IF(C75&lt;=0,0,MAX(0,ROUND((C75+D76)-MIN((C75+D76),Debts!$F$6+IF(AND(Debts!$B$6&lt;&gt;"",C75&gt;0,Debts!$G$6=$Q76),$R76,0)),2))))</f>
      </c>
      <c r="D76" s="49">
        <f>IF(OR(Debts!$B$6="",C75&lt;=0),0,ROUND(C75*Debts!$E$6/12,2))</f>
      </c>
      <c r="E76" s="48">
        <f>IF(Debts!$B$7="","",IF(E75&lt;=0,0,MAX(0,ROUND((E75+F76)-MIN((E75+F76),Debts!$F$7+IF(AND(Debts!$B$7&lt;&gt;"",E75&gt;0,Debts!$G$7=$Q76),$R76,0)),2))))</f>
      </c>
      <c r="F76" s="49">
        <f>IF(OR(Debts!$B$7="",E75&lt;=0),0,ROUND(E75*Debts!$E$7/12,2))</f>
      </c>
      <c r="G76" s="48">
        <f>IF(Debts!$B$8="","",IF(G75&lt;=0,0,MAX(0,ROUND((G75+H76)-MIN((G75+H76),Debts!$F$8+IF(AND(Debts!$B$8&lt;&gt;"",G75&gt;0,Debts!$G$8=$Q76),$R76,0)),2))))</f>
      </c>
      <c r="H76" s="49">
        <f>IF(OR(Debts!$B$8="",G75&lt;=0),0,ROUND(G75*Debts!$E$8/12,2))</f>
      </c>
      <c r="I76" s="48">
        <f>IF(Debts!$B$9="","",IF(I75&lt;=0,0,MAX(0,ROUND((I75+J76)-MIN((I75+J76),Debts!$F$9+IF(AND(Debts!$B$9&lt;&gt;"",I75&gt;0,Debts!$G$9=$Q76),$R76,0)),2))))</f>
      </c>
      <c r="J76" s="49">
        <f>IF(OR(Debts!$B$9="",I75&lt;=0),0,ROUND(I75*Debts!$E$9/12,2))</f>
      </c>
      <c r="K76" s="48">
        <f>IF(Debts!$B$10="","",IF(K75&lt;=0,0,MAX(0,ROUND((K75+L76)-MIN((K75+L76),Debts!$F$10+IF(AND(Debts!$B$10&lt;&gt;"",K75&gt;0,Debts!$G$10=$Q76),$R76,0)),2))))</f>
      </c>
      <c r="L76" s="49">
        <f>IF(OR(Debts!$B$10="",K75&lt;=0),0,ROUND(K75*Debts!$E$10/12,2))</f>
      </c>
      <c r="M76" s="48">
        <f>IF(Debts!$B$11="","",IF(M75&lt;=0,0,MAX(0,ROUND((M75+N76)-MIN((M75+N76),Debts!$F$11+IF(AND(Debts!$B$11&lt;&gt;"",M75&gt;0,Debts!$G$11=$Q76),$R76,0)),2))))</f>
      </c>
      <c r="N76" s="49">
        <f>IF(OR(Debts!$B$11="",M75&lt;=0),0,ROUND(M75*Debts!$E$11/12,2))</f>
      </c>
      <c r="O76" s="48">
        <f>SUM(C76,E76,G76,I76,K76,M76)</f>
      </c>
      <c r="P76" s="48">
        <f>P75+SUM(D76,F76,H76,J76,L76,N76)</f>
      </c>
      <c r="Q76">
        <f>MIN(IF(AND(Debts!$B$6&lt;&gt;"",C75&gt;0),Debts!$G$6,999),IF(AND(Debts!$B$7&lt;&gt;"",E75&gt;0),Debts!$G$7,999),IF(AND(Debts!$B$8&lt;&gt;"",G75&gt;0),Debts!$G$8,999),IF(AND(Debts!$B$9&lt;&gt;"",I75&gt;0),Debts!$G$9,999),IF(AND(Debts!$B$10&lt;&gt;"",K75&gt;0),Debts!$G$10,999),IF(AND(Debts!$B$11&lt;&gt;"",M75&gt;0),Debts!$G$11,999))</f>
      </c>
      <c r="R76">
        <f>Setup!$C$8+IF(AND(Debts!$B$6&lt;&gt;"",C75&lt;=0),Debts!$F$6,0)+IF(AND(Debts!$B$7&lt;&gt;"",E75&lt;=0),Debts!$F$7,0)+IF(AND(Debts!$B$8&lt;&gt;"",G75&lt;=0),Debts!$F$8,0)+IF(AND(Debts!$B$9&lt;&gt;"",I75&lt;=0),Debts!$F$9,0)+IF(AND(Debts!$B$10&lt;&gt;"",K75&lt;=0),Debts!$F$10,0)+IF(AND(Debts!$B$11&lt;&gt;"",M75&lt;=0),Debts!$F$11,0)</f>
      </c>
    </row>
    <row r="77" spans="1:18" x14ac:dyDescent="0.25">
      <c r="A77">
        <v>36</v>
      </c>
      <c r="B77" s="47">
        <f>EDATE(Setup!$C$9,35)</f>
      </c>
      <c r="C77" s="48">
        <f>IF(Debts!$B$6="","",IF(C76&lt;=0,0,MAX(0,ROUND((C76+D77)-MIN((C76+D77),Debts!$F$6+IF(AND(Debts!$B$6&lt;&gt;"",C76&gt;0,Debts!$G$6=$Q77),$R77,0)),2))))</f>
      </c>
      <c r="D77" s="49">
        <f>IF(OR(Debts!$B$6="",C76&lt;=0),0,ROUND(C76*Debts!$E$6/12,2))</f>
      </c>
      <c r="E77" s="48">
        <f>IF(Debts!$B$7="","",IF(E76&lt;=0,0,MAX(0,ROUND((E76+F77)-MIN((E76+F77),Debts!$F$7+IF(AND(Debts!$B$7&lt;&gt;"",E76&gt;0,Debts!$G$7=$Q77),$R77,0)),2))))</f>
      </c>
      <c r="F77" s="49">
        <f>IF(OR(Debts!$B$7="",E76&lt;=0),0,ROUND(E76*Debts!$E$7/12,2))</f>
      </c>
      <c r="G77" s="48">
        <f>IF(Debts!$B$8="","",IF(G76&lt;=0,0,MAX(0,ROUND((G76+H77)-MIN((G76+H77),Debts!$F$8+IF(AND(Debts!$B$8&lt;&gt;"",G76&gt;0,Debts!$G$8=$Q77),$R77,0)),2))))</f>
      </c>
      <c r="H77" s="49">
        <f>IF(OR(Debts!$B$8="",G76&lt;=0),0,ROUND(G76*Debts!$E$8/12,2))</f>
      </c>
      <c r="I77" s="48">
        <f>IF(Debts!$B$9="","",IF(I76&lt;=0,0,MAX(0,ROUND((I76+J77)-MIN((I76+J77),Debts!$F$9+IF(AND(Debts!$B$9&lt;&gt;"",I76&gt;0,Debts!$G$9=$Q77),$R77,0)),2))))</f>
      </c>
      <c r="J77" s="49">
        <f>IF(OR(Debts!$B$9="",I76&lt;=0),0,ROUND(I76*Debts!$E$9/12,2))</f>
      </c>
      <c r="K77" s="48">
        <f>IF(Debts!$B$10="","",IF(K76&lt;=0,0,MAX(0,ROUND((K76+L77)-MIN((K76+L77),Debts!$F$10+IF(AND(Debts!$B$10&lt;&gt;"",K76&gt;0,Debts!$G$10=$Q77),$R77,0)),2))))</f>
      </c>
      <c r="L77" s="49">
        <f>IF(OR(Debts!$B$10="",K76&lt;=0),0,ROUND(K76*Debts!$E$10/12,2))</f>
      </c>
      <c r="M77" s="48">
        <f>IF(Debts!$B$11="","",IF(M76&lt;=0,0,MAX(0,ROUND((M76+N77)-MIN((M76+N77),Debts!$F$11+IF(AND(Debts!$B$11&lt;&gt;"",M76&gt;0,Debts!$G$11=$Q77),$R77,0)),2))))</f>
      </c>
      <c r="N77" s="49">
        <f>IF(OR(Debts!$B$11="",M76&lt;=0),0,ROUND(M76*Debts!$E$11/12,2))</f>
      </c>
      <c r="O77" s="48">
        <f>SUM(C77,E77,G77,I77,K77,M77)</f>
      </c>
      <c r="P77" s="48">
        <f>P76+SUM(D77,F77,H77,J77,L77,N77)</f>
      </c>
      <c r="Q77">
        <f>MIN(IF(AND(Debts!$B$6&lt;&gt;"",C76&gt;0),Debts!$G$6,999),IF(AND(Debts!$B$7&lt;&gt;"",E76&gt;0),Debts!$G$7,999),IF(AND(Debts!$B$8&lt;&gt;"",G76&gt;0),Debts!$G$8,999),IF(AND(Debts!$B$9&lt;&gt;"",I76&gt;0),Debts!$G$9,999),IF(AND(Debts!$B$10&lt;&gt;"",K76&gt;0),Debts!$G$10,999),IF(AND(Debts!$B$11&lt;&gt;"",M76&gt;0),Debts!$G$11,999))</f>
      </c>
      <c r="R77">
        <f>Setup!$C$8+IF(AND(Debts!$B$6&lt;&gt;"",C76&lt;=0),Debts!$F$6,0)+IF(AND(Debts!$B$7&lt;&gt;"",E76&lt;=0),Debts!$F$7,0)+IF(AND(Debts!$B$8&lt;&gt;"",G76&lt;=0),Debts!$F$8,0)+IF(AND(Debts!$B$9&lt;&gt;"",I76&lt;=0),Debts!$F$9,0)+IF(AND(Debts!$B$10&lt;&gt;"",K76&lt;=0),Debts!$F$10,0)+IF(AND(Debts!$B$11&lt;&gt;"",M76&lt;=0),Debts!$F$11,0)</f>
      </c>
    </row>
    <row r="79" spans="1:1" x14ac:dyDescent="0.25">
      <c r="A79" t="s">
        <v>100</v>
      </c>
    </row>
    <row r="80" spans="1:3" x14ac:dyDescent="0.25">
      <c r="A80" t="s">
        <v>50</v>
      </c>
      <c r="B80" t="s">
        <v>51</v>
      </c>
      <c r="C80" t="s">
        <v>30</v>
      </c>
    </row>
    <row r="81" spans="1:3" x14ac:dyDescent="0.25">
      <c r="A81">
        <f>A43</f>
      </c>
      <c r="B81">
        <f>TEXT(B43,"mmm yy")</f>
      </c>
      <c r="C81" s="48">
        <f>O43</f>
      </c>
    </row>
    <row r="82" spans="1:3" x14ac:dyDescent="0.25">
      <c r="A82">
        <f>A45</f>
      </c>
      <c r="B82">
        <f>TEXT(B45,"mmm yy")</f>
      </c>
      <c r="C82" s="48">
        <f>O45</f>
      </c>
    </row>
    <row r="83" spans="1:3" x14ac:dyDescent="0.25">
      <c r="A83">
        <f>A47</f>
      </c>
      <c r="B83">
        <f>TEXT(B47,"mmm yy")</f>
      </c>
      <c r="C83" s="48">
        <f>O47</f>
      </c>
    </row>
    <row r="84" spans="1:3" x14ac:dyDescent="0.25">
      <c r="A84">
        <f>A49</f>
      </c>
      <c r="B84">
        <f>TEXT(B49,"mmm yy")</f>
      </c>
      <c r="C84" s="48">
        <f>O49</f>
      </c>
    </row>
    <row r="85" spans="1:3" x14ac:dyDescent="0.25">
      <c r="A85">
        <f>A51</f>
      </c>
      <c r="B85">
        <f>TEXT(B51,"mmm yy")</f>
      </c>
      <c r="C85" s="48">
        <f>O51</f>
      </c>
    </row>
    <row r="86" spans="1:3" x14ac:dyDescent="0.25">
      <c r="A86">
        <f>A53</f>
      </c>
      <c r="B86">
        <f>TEXT(B53,"mmm yy")</f>
      </c>
      <c r="C86" s="48">
        <f>O53</f>
      </c>
    </row>
    <row r="87" spans="1:3" x14ac:dyDescent="0.25">
      <c r="A87">
        <f>A55</f>
      </c>
      <c r="B87">
        <f>TEXT(B55,"mmm yy")</f>
      </c>
      <c r="C87" s="48">
        <f>O55</f>
      </c>
    </row>
    <row r="88" spans="1:3" x14ac:dyDescent="0.25">
      <c r="A88">
        <f>A57</f>
      </c>
      <c r="B88">
        <f>TEXT(B57,"mmm yy")</f>
      </c>
      <c r="C88" s="48">
        <f>O57</f>
      </c>
    </row>
    <row r="89" spans="1:3" x14ac:dyDescent="0.25">
      <c r="A89">
        <f>A59</f>
      </c>
      <c r="B89">
        <f>TEXT(B59,"mmm yy")</f>
      </c>
      <c r="C89" s="48">
        <f>O59</f>
      </c>
    </row>
    <row r="90" spans="1:3" x14ac:dyDescent="0.25">
      <c r="A90">
        <f>A61</f>
      </c>
      <c r="B90">
        <f>TEXT(B61,"mmm yy")</f>
      </c>
      <c r="C90" s="48">
        <f>O61</f>
      </c>
    </row>
    <row r="91" spans="1:3" x14ac:dyDescent="0.25">
      <c r="A91">
        <f>A63</f>
      </c>
      <c r="B91">
        <f>TEXT(B63,"mmm yy")</f>
      </c>
      <c r="C91" s="48">
        <f>O63</f>
      </c>
    </row>
    <row r="92" spans="1:3" x14ac:dyDescent="0.25">
      <c r="A92">
        <f>A65</f>
      </c>
      <c r="B92">
        <f>TEXT(B65,"mmm yy")</f>
      </c>
      <c r="C92" s="48">
        <f>O65</f>
      </c>
    </row>
    <row r="93" spans="1:3" x14ac:dyDescent="0.25">
      <c r="A93">
        <f>A67</f>
      </c>
      <c r="B93">
        <f>TEXT(B67,"mmm yy")</f>
      </c>
      <c r="C93" s="48">
        <f>O67</f>
      </c>
    </row>
    <row r="94" spans="1:3" x14ac:dyDescent="0.25">
      <c r="A94">
        <f>A69</f>
      </c>
      <c r="B94">
        <f>TEXT(B69,"mmm yy")</f>
      </c>
      <c r="C94" s="48">
        <f>O69</f>
      </c>
    </row>
    <row r="95" spans="1:3" x14ac:dyDescent="0.25">
      <c r="A95">
        <f>A71</f>
      </c>
      <c r="B95">
        <f>TEXT(B71,"mmm yy")</f>
      </c>
      <c r="C95" s="48">
        <f>O71</f>
      </c>
    </row>
    <row r="96" spans="1:3" x14ac:dyDescent="0.25">
      <c r="A96">
        <f>A73</f>
      </c>
      <c r="B96">
        <f>TEXT(B73,"mmm yy")</f>
      </c>
      <c r="C96" s="48">
        <f>O73</f>
      </c>
    </row>
    <row r="97" spans="1:3" x14ac:dyDescent="0.25">
      <c r="A97">
        <f>A75</f>
      </c>
      <c r="B97">
        <f>TEXT(B75,"mmm yy")</f>
      </c>
      <c r="C97" s="48">
        <f>O75</f>
      </c>
    </row>
    <row r="98" spans="1:3" x14ac:dyDescent="0.25">
      <c r="A98">
        <f>A77</f>
      </c>
      <c r="B98">
        <f>TEXT(B77,"mmm yy")</f>
      </c>
      <c r="C98" s="48">
        <f>O77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654A"/>
  </sheetPr>
  <dimension ref="A1:AA50"/>
  <sheetViews>
    <sheetView workbookViewId="0" showGridLines="0" zoomScale="100"/>
  </sheetViews>
  <sheetFormatPr defaultRowHeight="15" outlineLevelRow="0" outlineLevelCol="0" x14ac:dyDescent="55"/>
  <cols>
    <col min="1" max="1" width="2" customWidth="1"/>
    <col min="2" max="26" width="5.3" customWidth="1"/>
    <col min="27" max="27" width="2" customWidth="1"/>
  </cols>
  <sheetData>
    <row r="1" ht="8" customHeight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38" customHeight="1" spans="1:27" x14ac:dyDescent="0.25">
      <c r="A2" s="1"/>
      <c r="B2" s="2">
        <f>Setup!$C$5&amp;"'s debt payoff plan"</f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1"/>
    </row>
    <row r="3" ht="16" customHeight="1" spans="1:27" x14ac:dyDescent="0.25">
      <c r="A3" s="1"/>
      <c r="B3" s="3">
        <f>UPPER(Setup!$C$7)&amp;" STRATEGY   ·   "&amp;TEXT(Data!B4,"$#,##0")&amp;"/MONTH TOTAL PAYMENT   ·   "&amp;Data!B9</f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"/>
    </row>
    <row r="4" ht="8" customHeight="1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5" customHeight="1" spans="1:27" x14ac:dyDescent="0.25">
      <c r="A5" s="1"/>
      <c r="B5" s="4" t="s">
        <v>0</v>
      </c>
      <c r="C5" s="4"/>
      <c r="D5" s="4"/>
      <c r="E5" s="4"/>
      <c r="F5" s="4"/>
      <c r="G5" s="4"/>
      <c r="H5" s="1"/>
      <c r="I5" s="4" t="s">
        <v>1</v>
      </c>
      <c r="J5" s="4"/>
      <c r="K5" s="4"/>
      <c r="L5" s="4"/>
      <c r="M5" s="4"/>
      <c r="N5" s="4"/>
      <c r="O5" s="1"/>
      <c r="P5" s="4" t="s">
        <v>2</v>
      </c>
      <c r="Q5" s="4"/>
      <c r="R5" s="4"/>
      <c r="S5" s="4"/>
      <c r="T5" s="4"/>
      <c r="U5" s="4"/>
      <c r="V5" s="1"/>
      <c r="W5" s="4" t="s">
        <v>3</v>
      </c>
      <c r="X5" s="4"/>
      <c r="Y5" s="4"/>
      <c r="Z5" s="4"/>
      <c r="AA5" s="1"/>
    </row>
    <row r="6" ht="16" customHeight="1" spans="1:27" x14ac:dyDescent="0.25">
      <c r="A6" s="1"/>
      <c r="B6" s="5">
        <f>Data!B2</f>
      </c>
      <c r="C6" s="5"/>
      <c r="D6" s="5"/>
      <c r="E6" s="5"/>
      <c r="F6" s="5"/>
      <c r="G6" s="5"/>
      <c r="H6" s="1"/>
      <c r="I6" s="6">
        <f>Data!B6</f>
      </c>
      <c r="J6" s="6"/>
      <c r="K6" s="6"/>
      <c r="L6" s="6"/>
      <c r="M6" s="6"/>
      <c r="N6" s="6"/>
      <c r="O6" s="1"/>
      <c r="P6" s="7">
        <f>Data!B7</f>
      </c>
      <c r="Q6" s="7"/>
      <c r="R6" s="7"/>
      <c r="S6" s="7"/>
      <c r="T6" s="7"/>
      <c r="U6" s="7"/>
      <c r="V6" s="1"/>
      <c r="W6" s="8">
        <f>Data!B8</f>
      </c>
      <c r="X6" s="8"/>
      <c r="Y6" s="8"/>
      <c r="Z6" s="8"/>
      <c r="AA6" s="1"/>
    </row>
    <row r="7" ht="16" customHeight="1" spans="1:27" x14ac:dyDescent="0.25">
      <c r="A7" s="1"/>
      <c r="B7" s="5"/>
      <c r="C7" s="5"/>
      <c r="D7" s="5"/>
      <c r="E7" s="5"/>
      <c r="F7" s="5"/>
      <c r="G7" s="5"/>
      <c r="H7" s="1"/>
      <c r="I7" s="6"/>
      <c r="J7" s="6"/>
      <c r="K7" s="6"/>
      <c r="L7" s="6"/>
      <c r="M7" s="6"/>
      <c r="N7" s="6"/>
      <c r="O7" s="1"/>
      <c r="P7" s="7"/>
      <c r="Q7" s="7"/>
      <c r="R7" s="7"/>
      <c r="S7" s="7"/>
      <c r="T7" s="7"/>
      <c r="U7" s="7"/>
      <c r="V7" s="1"/>
      <c r="W7" s="8"/>
      <c r="X7" s="8"/>
      <c r="Y7" s="8"/>
      <c r="Z7" s="8"/>
      <c r="AA7" s="1"/>
    </row>
    <row r="8" ht="16" customHeight="1" spans="1:27" x14ac:dyDescent="0.25">
      <c r="A8" s="1"/>
      <c r="B8" s="5"/>
      <c r="C8" s="5"/>
      <c r="D8" s="5"/>
      <c r="E8" s="5"/>
      <c r="F8" s="5"/>
      <c r="G8" s="5"/>
      <c r="H8" s="1"/>
      <c r="I8" s="6"/>
      <c r="J8" s="6"/>
      <c r="K8" s="6"/>
      <c r="L8" s="6"/>
      <c r="M8" s="6"/>
      <c r="N8" s="6"/>
      <c r="O8" s="1"/>
      <c r="P8" s="7"/>
      <c r="Q8" s="7"/>
      <c r="R8" s="7"/>
      <c r="S8" s="7"/>
      <c r="T8" s="7"/>
      <c r="U8" s="7"/>
      <c r="V8" s="1"/>
      <c r="W8" s="8"/>
      <c r="X8" s="8"/>
      <c r="Y8" s="8"/>
      <c r="Z8" s="8"/>
      <c r="AA8" s="1"/>
    </row>
    <row r="9" ht="16" customHeight="1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15" customHeight="1" spans="1:27" x14ac:dyDescent="0.25">
      <c r="A10" s="1"/>
      <c r="B10" s="4" t="s">
        <v>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"/>
      <c r="P10" s="4" t="s">
        <v>5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1"/>
    </row>
    <row r="11" ht="16" customHeight="1" spans="1:27" x14ac:dyDescent="0.25">
      <c r="A11" s="1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"/>
      <c r="P11" s="9"/>
      <c r="Q11" s="10"/>
      <c r="R11" s="10"/>
      <c r="S11" s="10"/>
      <c r="T11" s="10"/>
      <c r="U11" s="10"/>
      <c r="V11" s="10"/>
      <c r="W11" s="10"/>
      <c r="X11" s="10"/>
      <c r="Y11" s="10"/>
      <c r="Z11" s="11"/>
      <c r="AA11" s="1"/>
    </row>
    <row r="12" ht="16" customHeight="1" spans="1:27" x14ac:dyDescent="0.25">
      <c r="A12" s="1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"/>
      <c r="P12" s="9"/>
      <c r="Q12" s="10"/>
      <c r="R12" s="10"/>
      <c r="S12" s="10"/>
      <c r="T12" s="10"/>
      <c r="U12" s="10"/>
      <c r="V12" s="10"/>
      <c r="W12" s="10"/>
      <c r="X12" s="10"/>
      <c r="Y12" s="10"/>
      <c r="Z12" s="11"/>
      <c r="AA12" s="1"/>
    </row>
    <row r="13" ht="16" customHeight="1" spans="1:27" x14ac:dyDescent="0.25">
      <c r="A13" s="1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"/>
      <c r="P13" s="9"/>
      <c r="Q13" s="10"/>
      <c r="R13" s="10"/>
      <c r="S13" s="10"/>
      <c r="T13" s="10"/>
      <c r="U13" s="10"/>
      <c r="V13" s="10"/>
      <c r="W13" s="10"/>
      <c r="X13" s="10"/>
      <c r="Y13" s="10"/>
      <c r="Z13" s="11"/>
      <c r="AA13" s="1"/>
    </row>
    <row r="14" ht="16" customHeight="1" spans="1:27" x14ac:dyDescent="0.25">
      <c r="A14" s="1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"/>
      <c r="P14" s="9"/>
      <c r="Q14" s="10"/>
      <c r="R14" s="10"/>
      <c r="S14" s="10"/>
      <c r="T14" s="10"/>
      <c r="U14" s="10"/>
      <c r="V14" s="10"/>
      <c r="W14" s="10"/>
      <c r="X14" s="10"/>
      <c r="Y14" s="10"/>
      <c r="Z14" s="11"/>
      <c r="AA14" s="1"/>
    </row>
    <row r="15" ht="16" customHeight="1" spans="1:27" x14ac:dyDescent="0.25">
      <c r="A15" s="1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"/>
      <c r="P15" s="9"/>
      <c r="Q15" s="10"/>
      <c r="R15" s="10"/>
      <c r="S15" s="10"/>
      <c r="T15" s="10"/>
      <c r="U15" s="10"/>
      <c r="V15" s="10"/>
      <c r="W15" s="10"/>
      <c r="X15" s="10"/>
      <c r="Y15" s="10"/>
      <c r="Z15" s="11"/>
      <c r="AA15" s="1"/>
    </row>
    <row r="16" ht="16" customHeight="1" spans="1:27" x14ac:dyDescent="0.25">
      <c r="A16" s="1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"/>
      <c r="P16" s="9"/>
      <c r="Q16" s="10"/>
      <c r="R16" s="10"/>
      <c r="S16" s="10"/>
      <c r="T16" s="10"/>
      <c r="U16" s="10"/>
      <c r="V16" s="10"/>
      <c r="W16" s="10"/>
      <c r="X16" s="10"/>
      <c r="Y16" s="10"/>
      <c r="Z16" s="11"/>
      <c r="AA16" s="1"/>
    </row>
    <row r="17" ht="16" customHeight="1" spans="1:27" x14ac:dyDescent="0.25">
      <c r="A17" s="1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"/>
      <c r="P17" s="9"/>
      <c r="Q17" s="10"/>
      <c r="R17" s="10"/>
      <c r="S17" s="10"/>
      <c r="T17" s="10"/>
      <c r="U17" s="10"/>
      <c r="V17" s="10"/>
      <c r="W17" s="10"/>
      <c r="X17" s="10"/>
      <c r="Y17" s="10"/>
      <c r="Z17" s="11"/>
      <c r="AA17" s="1"/>
    </row>
    <row r="18" ht="16" customHeight="1" spans="1:27" x14ac:dyDescent="0.25">
      <c r="A18" s="1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/>
      <c r="O18" s="1"/>
      <c r="P18" s="9"/>
      <c r="Q18" s="10"/>
      <c r="R18" s="10"/>
      <c r="S18" s="10"/>
      <c r="T18" s="10"/>
      <c r="U18" s="10"/>
      <c r="V18" s="10"/>
      <c r="W18" s="10"/>
      <c r="X18" s="10"/>
      <c r="Y18" s="10"/>
      <c r="Z18" s="11"/>
      <c r="AA18" s="1"/>
    </row>
    <row r="19" ht="16" customHeight="1" spans="1:27" x14ac:dyDescent="0.25">
      <c r="A19" s="1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  <c r="O19" s="1"/>
      <c r="P19" s="9"/>
      <c r="Q19" s="10"/>
      <c r="R19" s="10"/>
      <c r="S19" s="10"/>
      <c r="T19" s="10"/>
      <c r="U19" s="10"/>
      <c r="V19" s="10"/>
      <c r="W19" s="10"/>
      <c r="X19" s="10"/>
      <c r="Y19" s="10"/>
      <c r="Z19" s="11"/>
      <c r="AA19" s="1"/>
    </row>
    <row r="20" ht="16" customHeight="1" spans="1:27" x14ac:dyDescent="0.25">
      <c r="A20" s="1"/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"/>
      <c r="P20" s="9"/>
      <c r="Q20" s="10"/>
      <c r="R20" s="10"/>
      <c r="S20" s="10"/>
      <c r="T20" s="10"/>
      <c r="U20" s="10"/>
      <c r="V20" s="10"/>
      <c r="W20" s="10"/>
      <c r="X20" s="10"/>
      <c r="Y20" s="10"/>
      <c r="Z20" s="11"/>
      <c r="AA20" s="1"/>
    </row>
    <row r="21" ht="16" customHeight="1" spans="1:27" x14ac:dyDescent="0.25">
      <c r="A21" s="1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  <c r="O21" s="1"/>
      <c r="P21" s="9"/>
      <c r="Q21" s="10"/>
      <c r="R21" s="10"/>
      <c r="S21" s="10"/>
      <c r="T21" s="10"/>
      <c r="U21" s="10"/>
      <c r="V21" s="10"/>
      <c r="W21" s="10"/>
      <c r="X21" s="10"/>
      <c r="Y21" s="10"/>
      <c r="Z21" s="11"/>
      <c r="AA21" s="1"/>
    </row>
    <row r="22" ht="16" customHeight="1" spans="1:27" x14ac:dyDescent="0.25">
      <c r="A22" s="1"/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1"/>
      <c r="O22" s="1"/>
      <c r="P22" s="12"/>
      <c r="Q22" s="13"/>
      <c r="R22" s="13"/>
      <c r="S22" s="13"/>
      <c r="T22" s="13"/>
      <c r="U22" s="13"/>
      <c r="V22" s="13"/>
      <c r="W22" s="13"/>
      <c r="X22" s="13"/>
      <c r="Y22" s="13"/>
      <c r="Z22" s="14"/>
      <c r="AA22" s="1"/>
    </row>
    <row r="23" ht="16" customHeight="1" spans="1:27" x14ac:dyDescent="0.25">
      <c r="A23" s="1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5" customHeight="1" spans="1:27" x14ac:dyDescent="0.25">
      <c r="A24" s="1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1"/>
      <c r="O24" s="1"/>
      <c r="P24" s="4" t="s">
        <v>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1"/>
    </row>
    <row r="25" ht="16" customHeight="1" spans="1:27" x14ac:dyDescent="0.25">
      <c r="A25" s="1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1"/>
      <c r="O25" s="1"/>
      <c r="P25" s="9"/>
      <c r="Q25" s="10"/>
      <c r="R25" s="10"/>
      <c r="S25" s="10"/>
      <c r="T25" s="10"/>
      <c r="U25" s="10"/>
      <c r="V25" s="10"/>
      <c r="W25" s="10"/>
      <c r="X25" s="10"/>
      <c r="Y25" s="10"/>
      <c r="Z25" s="11"/>
      <c r="AA25" s="1"/>
    </row>
    <row r="26" ht="16" customHeight="1" spans="1:27" x14ac:dyDescent="0.25">
      <c r="A26" s="1"/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1"/>
      <c r="O26" s="1"/>
      <c r="P26" s="9"/>
      <c r="Q26" s="10"/>
      <c r="R26" s="10"/>
      <c r="S26" s="10"/>
      <c r="T26" s="10"/>
      <c r="U26" s="10"/>
      <c r="V26" s="10"/>
      <c r="W26" s="10"/>
      <c r="X26" s="10"/>
      <c r="Y26" s="10"/>
      <c r="Z26" s="11"/>
      <c r="AA26" s="1"/>
    </row>
    <row r="27" ht="16" customHeight="1" spans="1:27" x14ac:dyDescent="0.25">
      <c r="A27" s="1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1"/>
      <c r="O27" s="1"/>
      <c r="P27" s="9"/>
      <c r="Q27" s="10"/>
      <c r="R27" s="10"/>
      <c r="S27" s="10"/>
      <c r="T27" s="10"/>
      <c r="U27" s="10"/>
      <c r="V27" s="10"/>
      <c r="W27" s="10"/>
      <c r="X27" s="10"/>
      <c r="Y27" s="10"/>
      <c r="Z27" s="11"/>
      <c r="AA27" s="1"/>
    </row>
    <row r="28" ht="16" customHeight="1" spans="1:27" x14ac:dyDescent="0.25">
      <c r="A28" s="1"/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1"/>
      <c r="O28" s="1"/>
      <c r="P28" s="9"/>
      <c r="Q28" s="10"/>
      <c r="R28" s="10"/>
      <c r="S28" s="10"/>
      <c r="T28" s="10"/>
      <c r="U28" s="10"/>
      <c r="V28" s="10"/>
      <c r="W28" s="10"/>
      <c r="X28" s="10"/>
      <c r="Y28" s="10"/>
      <c r="Z28" s="11"/>
      <c r="AA28" s="1"/>
    </row>
    <row r="29" ht="16" customHeight="1" spans="1:27" x14ac:dyDescent="0.25">
      <c r="A29" s="1"/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1"/>
      <c r="O29" s="1"/>
      <c r="P29" s="9"/>
      <c r="Q29" s="10"/>
      <c r="R29" s="10"/>
      <c r="S29" s="10"/>
      <c r="T29" s="10"/>
      <c r="U29" s="10"/>
      <c r="V29" s="10"/>
      <c r="W29" s="10"/>
      <c r="X29" s="10"/>
      <c r="Y29" s="10"/>
      <c r="Z29" s="11"/>
      <c r="AA29" s="1"/>
    </row>
    <row r="30" ht="16" customHeight="1" spans="1:27" x14ac:dyDescent="0.25">
      <c r="A30" s="1"/>
      <c r="B30" s="12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4"/>
      <c r="O30" s="1"/>
      <c r="P30" s="9"/>
      <c r="Q30" s="10"/>
      <c r="R30" s="10"/>
      <c r="S30" s="10"/>
      <c r="T30" s="10"/>
      <c r="U30" s="10"/>
      <c r="V30" s="10"/>
      <c r="W30" s="10"/>
      <c r="X30" s="10"/>
      <c r="Y30" s="10"/>
      <c r="Z30" s="11"/>
      <c r="AA30" s="1"/>
    </row>
    <row r="31" ht="16" customHeight="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9"/>
      <c r="Q31" s="10"/>
      <c r="R31" s="10"/>
      <c r="S31" s="10"/>
      <c r="T31" s="10"/>
      <c r="U31" s="10"/>
      <c r="V31" s="10"/>
      <c r="W31" s="10"/>
      <c r="X31" s="10"/>
      <c r="Y31" s="10"/>
      <c r="Z31" s="11"/>
      <c r="AA31" s="1"/>
    </row>
    <row r="32" ht="15" customHeight="1" spans="1:27" x14ac:dyDescent="0.25">
      <c r="A32" s="1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1"/>
      <c r="P32" s="12"/>
      <c r="Q32" s="13"/>
      <c r="R32" s="13"/>
      <c r="S32" s="13"/>
      <c r="T32" s="13"/>
      <c r="U32" s="13"/>
      <c r="V32" s="13"/>
      <c r="W32" s="13"/>
      <c r="X32" s="13"/>
      <c r="Y32" s="13"/>
      <c r="Z32" s="14"/>
      <c r="AA32" s="1"/>
    </row>
    <row r="33" ht="16" customHeight="1" spans="1:27" x14ac:dyDescent="0.25">
      <c r="A33" s="1"/>
      <c r="B33" s="15">
        <f>IF(Data!A12="","",Debts!G6)</f>
      </c>
      <c r="C33" s="15"/>
      <c r="D33" s="16">
        <f>Data!A12</f>
      </c>
      <c r="E33" s="16"/>
      <c r="F33" s="16"/>
      <c r="G33" s="16"/>
      <c r="H33" s="16"/>
      <c r="I33" s="16"/>
      <c r="J33" s="16"/>
      <c r="K33" s="16"/>
      <c r="L33" s="17">
        <f>IF(Data!A12="","",Data!C12)</f>
      </c>
      <c r="M33" s="17"/>
      <c r="N33" s="17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5" customHeight="1" spans="1:27" x14ac:dyDescent="0.25">
      <c r="A34" s="1"/>
      <c r="B34" s="15">
        <f>IF(Data!A13="","",Debts!G7)</f>
      </c>
      <c r="C34" s="15"/>
      <c r="D34" s="16">
        <f>Data!A13</f>
      </c>
      <c r="E34" s="16"/>
      <c r="F34" s="16"/>
      <c r="G34" s="16"/>
      <c r="H34" s="16"/>
      <c r="I34" s="16"/>
      <c r="J34" s="16"/>
      <c r="K34" s="16"/>
      <c r="L34" s="17">
        <f>IF(Data!A13="","",Data!C13)</f>
      </c>
      <c r="M34" s="17"/>
      <c r="N34" s="17"/>
      <c r="O34" s="1"/>
      <c r="P34" s="4" t="s">
        <v>8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1"/>
    </row>
    <row r="35" ht="16" customHeight="1" spans="1:27" x14ac:dyDescent="0.25">
      <c r="A35" s="1"/>
      <c r="B35" s="15">
        <f>IF(Data!A14="","",Debts!G8)</f>
      </c>
      <c r="C35" s="15"/>
      <c r="D35" s="16">
        <f>Data!A14</f>
      </c>
      <c r="E35" s="16"/>
      <c r="F35" s="16"/>
      <c r="G35" s="16"/>
      <c r="H35" s="16"/>
      <c r="I35" s="16"/>
      <c r="J35" s="16"/>
      <c r="K35" s="16"/>
      <c r="L35" s="17">
        <f>IF(Data!A14="","",Data!C14)</f>
      </c>
      <c r="M35" s="17"/>
      <c r="N35" s="17"/>
      <c r="O35" s="1"/>
      <c r="P35" s="9"/>
      <c r="Q35" s="10"/>
      <c r="R35" s="10"/>
      <c r="S35" s="10"/>
      <c r="T35" s="10"/>
      <c r="U35" s="10"/>
      <c r="V35" s="10"/>
      <c r="W35" s="10"/>
      <c r="X35" s="10"/>
      <c r="Y35" s="10"/>
      <c r="Z35" s="11"/>
      <c r="AA35" s="1"/>
    </row>
    <row r="36" ht="16" customHeight="1" spans="1:27" x14ac:dyDescent="0.25">
      <c r="A36" s="1"/>
      <c r="B36" s="15">
        <f>IF(Data!A15="","",Debts!G9)</f>
      </c>
      <c r="C36" s="15"/>
      <c r="D36" s="16">
        <f>Data!A15</f>
      </c>
      <c r="E36" s="16"/>
      <c r="F36" s="16"/>
      <c r="G36" s="16"/>
      <c r="H36" s="16"/>
      <c r="I36" s="16"/>
      <c r="J36" s="16"/>
      <c r="K36" s="16"/>
      <c r="L36" s="17">
        <f>IF(Data!A15="","",Data!C15)</f>
      </c>
      <c r="M36" s="17"/>
      <c r="N36" s="17"/>
      <c r="O36" s="1"/>
      <c r="P36" s="9"/>
      <c r="Q36" s="10"/>
      <c r="R36" s="10"/>
      <c r="S36" s="10"/>
      <c r="T36" s="10"/>
      <c r="U36" s="10"/>
      <c r="V36" s="10"/>
      <c r="W36" s="10"/>
      <c r="X36" s="10"/>
      <c r="Y36" s="10"/>
      <c r="Z36" s="11"/>
      <c r="AA36" s="1"/>
    </row>
    <row r="37" ht="16" customHeight="1" spans="1:27" x14ac:dyDescent="0.25">
      <c r="A37" s="1"/>
      <c r="B37" s="15">
        <f>IF(Data!A16="","",Debts!G10)</f>
      </c>
      <c r="C37" s="15"/>
      <c r="D37" s="16">
        <f>Data!A16</f>
      </c>
      <c r="E37" s="16"/>
      <c r="F37" s="16"/>
      <c r="G37" s="16"/>
      <c r="H37" s="16"/>
      <c r="I37" s="16"/>
      <c r="J37" s="16"/>
      <c r="K37" s="16"/>
      <c r="L37" s="17">
        <f>IF(Data!A16="","",Data!C16)</f>
      </c>
      <c r="M37" s="17"/>
      <c r="N37" s="17"/>
      <c r="O37" s="1"/>
      <c r="P37" s="9"/>
      <c r="Q37" s="10"/>
      <c r="R37" s="10"/>
      <c r="S37" s="10"/>
      <c r="T37" s="10"/>
      <c r="U37" s="10"/>
      <c r="V37" s="10"/>
      <c r="W37" s="10"/>
      <c r="X37" s="10"/>
      <c r="Y37" s="10"/>
      <c r="Z37" s="11"/>
      <c r="AA37" s="1"/>
    </row>
    <row r="38" ht="16" customHeight="1" spans="1:27" x14ac:dyDescent="0.25">
      <c r="A38" s="1"/>
      <c r="B38" s="15">
        <f>IF(Data!A17="","",Debts!G11)</f>
      </c>
      <c r="C38" s="15"/>
      <c r="D38" s="16">
        <f>Data!A17</f>
      </c>
      <c r="E38" s="16"/>
      <c r="F38" s="16"/>
      <c r="G38" s="16"/>
      <c r="H38" s="16"/>
      <c r="I38" s="16"/>
      <c r="J38" s="16"/>
      <c r="K38" s="16"/>
      <c r="L38" s="17">
        <f>IF(Data!A17="","",Data!C17)</f>
      </c>
      <c r="M38" s="17"/>
      <c r="N38" s="17"/>
      <c r="O38" s="1"/>
      <c r="P38" s="9"/>
      <c r="Q38" s="10"/>
      <c r="R38" s="10"/>
      <c r="S38" s="10"/>
      <c r="T38" s="10"/>
      <c r="U38" s="10"/>
      <c r="V38" s="10"/>
      <c r="W38" s="10"/>
      <c r="X38" s="10"/>
      <c r="Y38" s="10"/>
      <c r="Z38" s="11"/>
      <c r="AA38" s="1"/>
    </row>
    <row r="39" ht="16" customHeight="1" spans="1:27" x14ac:dyDescent="0.25">
      <c r="A39" s="1"/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1"/>
      <c r="O39" s="1"/>
      <c r="P39" s="9"/>
      <c r="Q39" s="10"/>
      <c r="R39" s="10"/>
      <c r="S39" s="10"/>
      <c r="T39" s="10"/>
      <c r="U39" s="10"/>
      <c r="V39" s="10"/>
      <c r="W39" s="10"/>
      <c r="X39" s="10"/>
      <c r="Y39" s="10"/>
      <c r="Z39" s="11"/>
      <c r="AA39" s="1"/>
    </row>
    <row r="40" ht="16" customHeight="1" spans="1:27" x14ac:dyDescent="0.25">
      <c r="A40" s="1"/>
      <c r="B40" s="1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  <c r="O40" s="1"/>
      <c r="P40" s="12"/>
      <c r="Q40" s="13"/>
      <c r="R40" s="13"/>
      <c r="S40" s="13"/>
      <c r="T40" s="13"/>
      <c r="U40" s="13"/>
      <c r="V40" s="13"/>
      <c r="W40" s="13"/>
      <c r="X40" s="13"/>
      <c r="Y40" s="13"/>
      <c r="Z40" s="14"/>
      <c r="AA40" s="1"/>
    </row>
    <row r="41" ht="16" customHeight="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6" customHeight="1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6" customHeight="1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6" customHeight="1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6" customHeight="1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6" customHeight="1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6" customHeight="1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6" customHeight="1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6" customHeight="1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6" customHeight="1" spans="1:27" x14ac:dyDescent="0.25">
      <c r="A50" s="1"/>
      <c r="B50" s="18" t="s">
        <v>9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</sheetData>
  <mergeCells count="33">
    <mergeCell ref="B2:Z2"/>
    <mergeCell ref="B3:Z3"/>
    <mergeCell ref="B5:G5"/>
    <mergeCell ref="I5:N5"/>
    <mergeCell ref="P5:U5"/>
    <mergeCell ref="W5:Z5"/>
    <mergeCell ref="B6:G8"/>
    <mergeCell ref="I6:N8"/>
    <mergeCell ref="P6:U8"/>
    <mergeCell ref="W6:Z8"/>
    <mergeCell ref="B10:N10"/>
    <mergeCell ref="P10:Z10"/>
    <mergeCell ref="P24:Z24"/>
    <mergeCell ref="B32:N32"/>
    <mergeCell ref="B33:C33"/>
    <mergeCell ref="D33:K33"/>
    <mergeCell ref="L33:N33"/>
    <mergeCell ref="B34:C34"/>
    <mergeCell ref="D34:K34"/>
    <mergeCell ref="L34:N34"/>
    <mergeCell ref="P34:Z34"/>
    <mergeCell ref="B35:C35"/>
    <mergeCell ref="D35:K35"/>
    <mergeCell ref="L35:N35"/>
    <mergeCell ref="B36:C36"/>
    <mergeCell ref="D36:K36"/>
    <mergeCell ref="L36:N36"/>
    <mergeCell ref="B37:C37"/>
    <mergeCell ref="D37:K37"/>
    <mergeCell ref="L37:N37"/>
    <mergeCell ref="B38:C38"/>
    <mergeCell ref="D38:K38"/>
    <mergeCell ref="L38:N38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5654A"/>
  </sheetPr>
  <dimension ref="A1:F40"/>
  <sheetViews>
    <sheetView workbookViewId="0" showGridLines="0" zoomScale="100"/>
  </sheetViews>
  <sheetFormatPr defaultRowHeight="15" outlineLevelRow="0" outlineLevelCol="0" x14ac:dyDescent="55"/>
  <cols>
    <col min="1" max="1" width="3" customWidth="1"/>
    <col min="2" max="2" width="100" customWidth="1"/>
  </cols>
  <sheetData>
    <row r="1" ht="10" customHeight="1" spans="1:6" x14ac:dyDescent="0.25">
      <c r="A1" s="1"/>
      <c r="B1" s="1"/>
      <c r="C1" s="1"/>
      <c r="D1" s="1"/>
      <c r="E1" s="1"/>
      <c r="F1" s="1"/>
    </row>
    <row r="2" ht="34" customHeight="1" spans="1:6" x14ac:dyDescent="0.25">
      <c r="A2" s="1"/>
      <c r="B2" s="19" t="s">
        <v>56</v>
      </c>
      <c r="C2" s="1"/>
      <c r="D2" s="1"/>
      <c r="E2" s="1"/>
      <c r="F2" s="1"/>
    </row>
    <row r="3" ht="16" customHeight="1" spans="1:6" x14ac:dyDescent="0.25">
      <c r="A3" s="1"/>
      <c r="B3" s="20" t="s">
        <v>57</v>
      </c>
      <c r="C3" s="1"/>
      <c r="D3" s="1"/>
      <c r="E3" s="1"/>
      <c r="F3" s="1"/>
    </row>
    <row r="4" ht="10" customHeight="1" spans="1:6" x14ac:dyDescent="0.25">
      <c r="A4" s="1"/>
      <c r="B4" s="1"/>
      <c r="C4" s="1"/>
      <c r="D4" s="1"/>
      <c r="E4" s="1"/>
      <c r="F4" s="1"/>
    </row>
    <row r="5" ht="26" customHeight="1" spans="1:6" x14ac:dyDescent="0.25">
      <c r="A5" s="1"/>
      <c r="B5" s="45" t="s">
        <v>58</v>
      </c>
      <c r="C5" s="1"/>
      <c r="D5" s="1"/>
      <c r="E5" s="1"/>
      <c r="F5" s="1"/>
    </row>
    <row r="6" ht="30" customHeight="1" spans="1:6" x14ac:dyDescent="0.25">
      <c r="A6" s="1"/>
      <c r="B6" s="46" t="s">
        <v>59</v>
      </c>
      <c r="C6" s="1"/>
      <c r="D6" s="1"/>
      <c r="E6" s="1"/>
      <c r="F6" s="1"/>
    </row>
    <row r="7" ht="26" customHeight="1" spans="1:6" x14ac:dyDescent="0.25">
      <c r="A7" s="1"/>
      <c r="B7" s="45" t="s">
        <v>60</v>
      </c>
      <c r="C7" s="1"/>
      <c r="D7" s="1"/>
      <c r="E7" s="1"/>
      <c r="F7" s="1"/>
    </row>
    <row r="8" ht="45" customHeight="1" spans="1:6" x14ac:dyDescent="0.25">
      <c r="A8" s="1"/>
      <c r="B8" s="46" t="s">
        <v>61</v>
      </c>
      <c r="C8" s="1"/>
      <c r="D8" s="1"/>
      <c r="E8" s="1"/>
      <c r="F8" s="1"/>
    </row>
    <row r="9" ht="26" customHeight="1" spans="1:6" x14ac:dyDescent="0.25">
      <c r="A9" s="1"/>
      <c r="B9" s="45" t="s">
        <v>62</v>
      </c>
      <c r="C9" s="1"/>
      <c r="D9" s="1"/>
      <c r="E9" s="1"/>
      <c r="F9" s="1"/>
    </row>
    <row r="10" ht="30" customHeight="1" spans="1:6" x14ac:dyDescent="0.25">
      <c r="A10" s="1"/>
      <c r="B10" s="46" t="s">
        <v>63</v>
      </c>
      <c r="C10" s="1"/>
      <c r="D10" s="1"/>
      <c r="E10" s="1"/>
      <c r="F10" s="1"/>
    </row>
    <row r="11" ht="26" customHeight="1" spans="1:6" x14ac:dyDescent="0.25">
      <c r="A11" s="1"/>
      <c r="B11" s="45" t="s">
        <v>64</v>
      </c>
      <c r="C11" s="1"/>
      <c r="D11" s="1"/>
      <c r="E11" s="1"/>
      <c r="F11" s="1"/>
    </row>
    <row r="12" ht="30" customHeight="1" spans="1:6" x14ac:dyDescent="0.25">
      <c r="A12" s="1"/>
      <c r="B12" s="46" t="s">
        <v>65</v>
      </c>
      <c r="C12" s="1"/>
      <c r="D12" s="1"/>
      <c r="E12" s="1"/>
      <c r="F12" s="1"/>
    </row>
    <row r="13" ht="26" customHeight="1" spans="1:6" x14ac:dyDescent="0.25">
      <c r="A13" s="1"/>
      <c r="B13" s="45" t="s">
        <v>66</v>
      </c>
      <c r="C13" s="1"/>
      <c r="D13" s="1"/>
      <c r="E13" s="1"/>
      <c r="F13" s="1"/>
    </row>
    <row r="14" ht="30" customHeight="1" spans="1:6" x14ac:dyDescent="0.25">
      <c r="A14" s="1"/>
      <c r="B14" s="46" t="s">
        <v>67</v>
      </c>
      <c r="C14" s="1"/>
      <c r="D14" s="1"/>
      <c r="E14" s="1"/>
      <c r="F14" s="1"/>
    </row>
    <row r="15" ht="26" customHeight="1" spans="1:6" x14ac:dyDescent="0.25">
      <c r="A15" s="1"/>
      <c r="B15" s="45" t="s">
        <v>68</v>
      </c>
      <c r="C15" s="1"/>
      <c r="D15" s="1"/>
      <c r="E15" s="1"/>
      <c r="F15" s="1"/>
    </row>
    <row r="16" ht="45" customHeight="1" spans="1:6" x14ac:dyDescent="0.25">
      <c r="A16" s="1"/>
      <c r="B16" s="46" t="s">
        <v>69</v>
      </c>
      <c r="C16" s="1"/>
      <c r="D16" s="1"/>
      <c r="E16" s="1"/>
      <c r="F16" s="1"/>
    </row>
    <row r="17" ht="26" customHeight="1" spans="1:6" x14ac:dyDescent="0.25">
      <c r="A17" s="1"/>
      <c r="B17" s="45" t="s">
        <v>70</v>
      </c>
      <c r="C17" s="1"/>
      <c r="D17" s="1"/>
      <c r="E17" s="1"/>
      <c r="F17" s="1"/>
    </row>
    <row r="18" ht="18" customHeight="1" spans="1:6" x14ac:dyDescent="0.25">
      <c r="A18" s="1"/>
      <c r="B18" s="46" t="s">
        <v>71</v>
      </c>
      <c r="C18" s="1"/>
      <c r="D18" s="1"/>
      <c r="E18" s="1"/>
      <c r="F18" s="1"/>
    </row>
    <row r="19" ht="18" customHeight="1" spans="1:6" x14ac:dyDescent="0.25">
      <c r="A19" s="1"/>
      <c r="B19" s="46" t="s">
        <v>72</v>
      </c>
      <c r="C19" s="1"/>
      <c r="D19" s="1"/>
      <c r="E19" s="1"/>
      <c r="F19" s="1"/>
    </row>
    <row r="20" ht="18" customHeight="1" spans="1:6" x14ac:dyDescent="0.25">
      <c r="A20" s="1"/>
      <c r="B20" s="46" t="s">
        <v>73</v>
      </c>
      <c r="C20" s="1"/>
      <c r="D20" s="1"/>
      <c r="E20" s="1"/>
      <c r="F20" s="1"/>
    </row>
    <row r="21" ht="18" customHeight="1" spans="1:6" x14ac:dyDescent="0.25">
      <c r="A21" s="1"/>
      <c r="B21" s="46" t="s">
        <v>74</v>
      </c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Dashboard</vt:lpstr>
      <vt:lpstr>Setup</vt:lpstr>
      <vt:lpstr>Debts</vt:lpstr>
      <vt:lpstr>Payoff Schedule</vt:lpstr>
      <vt:lpstr>Instructions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Anchit Labs</dc:creator>
  <dc:title/>
  <dc:subject/>
  <dc:description/>
  <cp:keywords/>
  <cp:category/>
  <cp:lastModifiedBy>Unknown</cp:lastModifiedBy>
  <dcterms:created xsi:type="dcterms:W3CDTF">2026-09-21T06:39:28Z</dcterms:created>
  <dcterms:modified xsi:type="dcterms:W3CDTF">2026-09-21T06:39:28Z</dcterms:modified>
</cp:coreProperties>
</file>